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drawings/drawing5.xml" ContentType="application/vnd.openxmlformats-officedocument.drawing+xml"/>
  <Override PartName="/xl/drawings/drawing6.xml" ContentType="application/vnd.openxmlformats-officedocument.drawing+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theme/themeOverride1.xml" ContentType="application/vnd.openxmlformats-officedocument.themeOverrid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theme/themeOverride2.xml" ContentType="application/vnd.openxmlformats-officedocument.themeOverrid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theme/themeOverride3.xml" ContentType="application/vnd.openxmlformats-officedocument.themeOverrid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theme/themeOverride4.xml" ContentType="application/vnd.openxmlformats-officedocument.themeOverrid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theme/themeOverride5.xml" ContentType="application/vnd.openxmlformats-officedocument.themeOverrid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theme/themeOverride6.xml" ContentType="application/vnd.openxmlformats-officedocument.themeOverride+xml"/>
  <Override PartName="/xl/drawings/drawing7.xml" ContentType="application/vnd.openxmlformats-officedocument.drawing+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harts/chart9.xml" ContentType="application/vnd.openxmlformats-officedocument.drawingml.chart+xml"/>
  <Override PartName="/xl/charts/chart10.xml" ContentType="application/vnd.openxmlformats-officedocument.drawingml.chart+xml"/>
  <Override PartName="/xl/charts/style9.xml" ContentType="application/vnd.ms-office.chartstyle+xml"/>
  <Override PartName="/xl/charts/colors9.xml" ContentType="application/vnd.ms-office.chartcolorstyle+xml"/>
  <Override PartName="/xl/charts/chart11.xml" ContentType="application/vnd.openxmlformats-officedocument.drawingml.chart+xml"/>
  <Override PartName="/xl/charts/style10.xml" ContentType="application/vnd.ms-office.chartstyle+xml"/>
  <Override PartName="/xl/charts/colors10.xml" ContentType="application/vnd.ms-office.chartcolorstyle+xml"/>
  <Override PartName="/xl/charts/chart12.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8.xml" ContentType="application/vnd.openxmlformats-officedocument.drawing+xml"/>
  <Override PartName="/xl/ctrlProps/ctrlProp14.xml" ContentType="application/vnd.ms-excel.controlproperties+xml"/>
  <Override PartName="/xl/ctrlProps/ctrlProp15.xml" ContentType="application/vnd.ms-excel.controlproperties+xml"/>
  <Override PartName="/xl/charts/chart13.xml" ContentType="application/vnd.openxmlformats-officedocument.drawingml.chart+xml"/>
  <Override PartName="/xl/charts/style12.xml" ContentType="application/vnd.ms-office.chartstyle+xml"/>
  <Override PartName="/xl/charts/colors12.xml" ContentType="application/vnd.ms-office.chartcolorstyle+xml"/>
  <Override PartName="/xl/charts/chart14.xml" ContentType="application/vnd.openxmlformats-officedocument.drawingml.chart+xml"/>
  <Override PartName="/xl/charts/style13.xml" ContentType="application/vnd.ms-office.chartstyle+xml"/>
  <Override PartName="/xl/charts/colors13.xml" ContentType="application/vnd.ms-office.chartcolorstyle+xml"/>
  <Override PartName="/xl/charts/chart15.xml" ContentType="application/vnd.openxmlformats-officedocument.drawingml.chart+xml"/>
  <Override PartName="/xl/charts/style14.xml" ContentType="application/vnd.ms-office.chartstyle+xml"/>
  <Override PartName="/xl/charts/colors14.xml" ContentType="application/vnd.ms-office.chartcolorstyle+xml"/>
  <Override PartName="/xl/charts/chart16.xml" ContentType="application/vnd.openxmlformats-officedocument.drawingml.chart+xml"/>
  <Override PartName="/xl/charts/style15.xml" ContentType="application/vnd.ms-office.chartstyle+xml"/>
  <Override PartName="/xl/charts/colors15.xml" ContentType="application/vnd.ms-office.chartcolorstyle+xml"/>
  <Override PartName="/xl/charts/chart17.xml" ContentType="application/vnd.openxmlformats-officedocument.drawingml.chart+xml"/>
  <Override PartName="/xl/charts/style16.xml" ContentType="application/vnd.ms-office.chartstyle+xml"/>
  <Override PartName="/xl/charts/colors16.xml" ContentType="application/vnd.ms-office.chartcolorstyle+xml"/>
  <Override PartName="/xl/charts/chart18.xml" ContentType="application/vnd.openxmlformats-officedocument.drawingml.chart+xml"/>
  <Override PartName="/xl/charts/style17.xml" ContentType="application/vnd.ms-office.chartstyle+xml"/>
  <Override PartName="/xl/charts/colors17.xml" ContentType="application/vnd.ms-office.chartcolorstyle+xml"/>
  <Override PartName="/xl/charts/chart19.xml" ContentType="application/vnd.openxmlformats-officedocument.drawingml.chart+xml"/>
  <Override PartName="/xl/charts/style18.xml" ContentType="application/vnd.ms-office.chartstyle+xml"/>
  <Override PartName="/xl/charts/colors18.xml" ContentType="application/vnd.ms-office.chartcolorstyle+xml"/>
  <Override PartName="/xl/charts/chart20.xml" ContentType="application/vnd.openxmlformats-officedocument.drawingml.chart+xml"/>
  <Override PartName="/xl/charts/style19.xml" ContentType="application/vnd.ms-office.chartstyle+xml"/>
  <Override PartName="/xl/charts/colors19.xml" ContentType="application/vnd.ms-office.chartcolorstyle+xml"/>
  <Override PartName="/xl/charts/chart21.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9.xml" ContentType="application/vnd.openxmlformats-officedocument.drawing+xml"/>
  <Override PartName="/xl/ctrlProps/ctrlProp16.xml" ContentType="application/vnd.ms-excel.controlproperties+xml"/>
  <Override PartName="/xl/ctrlProps/ctrlProp17.xml" ContentType="application/vnd.ms-excel.controlproperties+xml"/>
  <Override PartName="/xl/charts/chart22.xml" ContentType="application/vnd.openxmlformats-officedocument.drawingml.chart+xml"/>
  <Override PartName="/xl/charts/style21.xml" ContentType="application/vnd.ms-office.chartstyle+xml"/>
  <Override PartName="/xl/charts/colors21.xml" ContentType="application/vnd.ms-office.chartcolorstyle+xml"/>
  <Override PartName="/xl/charts/chart23.xml" ContentType="application/vnd.openxmlformats-officedocument.drawingml.chart+xml"/>
  <Override PartName="/xl/charts/style22.xml" ContentType="application/vnd.ms-office.chartstyle+xml"/>
  <Override PartName="/xl/charts/colors22.xml" ContentType="application/vnd.ms-office.chartcolorstyle+xml"/>
  <Override PartName="/xl/charts/chart24.xml" ContentType="application/vnd.openxmlformats-officedocument.drawingml.chart+xml"/>
  <Override PartName="/xl/charts/style23.xml" ContentType="application/vnd.ms-office.chartstyle+xml"/>
  <Override PartName="/xl/charts/colors23.xml" ContentType="application/vnd.ms-office.chartcolorstyle+xml"/>
  <Override PartName="/xl/charts/chart25.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10.xml" ContentType="application/vnd.openxmlformats-officedocument.drawing+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harts/chart26.xml" ContentType="application/vnd.openxmlformats-officedocument.drawingml.chart+xml"/>
  <Override PartName="/xl/charts/style25.xml" ContentType="application/vnd.ms-office.chartstyle+xml"/>
  <Override PartName="/xl/charts/colors25.xml" ContentType="application/vnd.ms-office.chartcolorstyle+xml"/>
  <Override PartName="/xl/theme/themeOverride7.xml" ContentType="application/vnd.openxmlformats-officedocument.themeOverride+xml"/>
  <Override PartName="/xl/drawings/drawing11.xml" ContentType="application/vnd.openxmlformats-officedocument.drawing+xml"/>
  <Override PartName="/xl/ctrlProps/ctrlProp21.xml" ContentType="application/vnd.ms-excel.controlproperties+xml"/>
  <Override PartName="/xl/ctrlProps/ctrlProp22.xml" ContentType="application/vnd.ms-excel.controlproperties+xml"/>
  <Override PartName="/xl/charts/chart27.xml" ContentType="application/vnd.openxmlformats-officedocument.drawingml.chart+xml"/>
  <Override PartName="/xl/charts/style26.xml" ContentType="application/vnd.ms-office.chartstyle+xml"/>
  <Override PartName="/xl/charts/colors26.xml" ContentType="application/vnd.ms-office.chartcolorstyle+xml"/>
  <Override PartName="/xl/theme/themeOverride8.xml" ContentType="application/vnd.openxmlformats-officedocument.themeOverride+xml"/>
  <Override PartName="/xl/drawings/drawing12.xml" ContentType="application/vnd.openxmlformats-officedocument.drawing+xml"/>
  <Override PartName="/xl/ctrlProps/ctrlProp23.xml" ContentType="application/vnd.ms-excel.controlproperties+xml"/>
  <Override PartName="/xl/ctrlProps/ctrlProp24.xml" ContentType="application/vnd.ms-excel.controlproperties+xml"/>
  <Override PartName="/xl/charts/chart28.xml" ContentType="application/vnd.openxmlformats-officedocument.drawingml.chart+xml"/>
  <Override PartName="/xl/theme/themeOverride9.xml" ContentType="application/vnd.openxmlformats-officedocument.themeOverride+xml"/>
  <Override PartName="/xl/drawings/drawing13.xml" ContentType="application/vnd.openxmlformats-officedocument.drawing+xml"/>
  <Override PartName="/xl/ctrlProps/ctrlProp25.xml" ContentType="application/vnd.ms-excel.controlproperties+xml"/>
  <Override PartName="/xl/ctrlProps/ctrlProp26.xml" ContentType="application/vnd.ms-excel.controlproperties+xml"/>
  <Override PartName="/xl/charts/chart29.xml" ContentType="application/vnd.openxmlformats-officedocument.drawingml.chart+xml"/>
  <Override PartName="/xl/charts/style27.xml" ContentType="application/vnd.ms-office.chartstyle+xml"/>
  <Override PartName="/xl/charts/colors27.xml" ContentType="application/vnd.ms-office.chartcolorstyle+xml"/>
  <Override PartName="/xl/theme/themeOverride10.xml" ContentType="application/vnd.openxmlformats-officedocument.themeOverride+xml"/>
  <Override PartName="/xl/drawings/drawing14.xml" ContentType="application/vnd.openxmlformats-officedocument.drawing+xml"/>
  <Override PartName="/xl/ctrlProps/ctrlProp27.xml" ContentType="application/vnd.ms-excel.controlproperties+xml"/>
  <Override PartName="/xl/ctrlProps/ctrlProp28.xml" ContentType="application/vnd.ms-excel.controlproperties+xml"/>
  <Override PartName="/xl/charts/chart30.xml" ContentType="application/vnd.openxmlformats-officedocument.drawingml.chart+xml"/>
  <Override PartName="/xl/drawings/drawing15.xml" ContentType="application/vnd.openxmlformats-officedocument.drawing+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harts/chart31.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16.xml" ContentType="application/vnd.openxmlformats-officedocument.drawingml.chartshapes+xml"/>
  <Override PartName="/xl/charts/chart32.xml" ContentType="application/vnd.openxmlformats-officedocument.drawingml.chart+xml"/>
  <Override PartName="/xl/charts/style29.xml" ContentType="application/vnd.ms-office.chartstyle+xml"/>
  <Override PartName="/xl/charts/colors29.xml" ContentType="application/vnd.ms-office.chartcolorstyle+xml"/>
  <Override PartName="/xl/drawings/drawing17.xml" ContentType="application/vnd.openxmlformats-officedocument.drawingml.chartshapes+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626"/>
  <workbookPr codeName="ThisWorkbook" defaultThemeVersion="124226"/>
  <mc:AlternateContent xmlns:mc="http://schemas.openxmlformats.org/markup-compatibility/2006">
    <mc:Choice Requires="x15">
      <x15ac:absPath xmlns:x15ac="http://schemas.microsoft.com/office/spreadsheetml/2010/11/ac" url="Z:\STM\WLS\NWL\GWN\22\CC\GWN Final 14-Aug-23\"/>
    </mc:Choice>
  </mc:AlternateContent>
  <xr:revisionPtr revIDLastSave="0" documentId="13_ncr:1_{2EB4E43F-E5C7-4B16-B5C9-7E954F3C61DE}" xr6:coauthVersionLast="47" xr6:coauthVersionMax="47" xr10:uidLastSave="{00000000-0000-0000-0000-000000000000}"/>
  <bookViews>
    <workbookView showSheetTabs="0" xWindow="-108" yWindow="-108" windowWidth="23256" windowHeight="12576" tabRatio="758" firstSheet="4" activeTab="4" xr2:uid="{00000000-000D-0000-FFFF-FFFF00000000}"/>
  </bookViews>
  <sheets>
    <sheet name="RPI13" sheetId="74" state="veryHidden" r:id="rId1"/>
    <sheet name="GTS_SHEET" sheetId="1" state="veryHidden" r:id="rId2"/>
    <sheet name="PB" sheetId="71" state="veryHidden" r:id="rId3"/>
    <sheet name="ANNEX" sheetId="72" state="veryHidden" r:id="rId4"/>
    <sheet name="HOME" sheetId="60" r:id="rId5"/>
    <sheet name="USER GUIDE" sheetId="69" r:id="rId6"/>
    <sheet name="COMPARATIVE HEADLINES" sheetId="56" r:id="rId7"/>
    <sheet name="KEY MEASURES" sheetId="63" r:id="rId8"/>
    <sheet name="VISITOR TYPE DISTRIBUTION" sheetId="66" r:id="rId9"/>
    <sheet name="MONTHLY DISTRIBUTION" sheetId="67" r:id="rId10"/>
    <sheet name="ECONOMIC IMPACT" sheetId="55" r:id="rId11"/>
    <sheet name="VISITOR NUMBERS" sheetId="58" r:id="rId12"/>
    <sheet name="VISITOR DAYS" sheetId="57" r:id="rId13"/>
    <sheet name="EMPLOYMENT" sheetId="59" r:id="rId14"/>
    <sheet name="ACCOMMODATION SUPPLY" sheetId="68" r:id="rId15"/>
    <sheet name="SECTORAL ANALYSIS" sheetId="61" r:id="rId16"/>
    <sheet name="COVER" sheetId="62" r:id="rId17"/>
    <sheet name="CONTENTS" sheetId="73" r:id="rId18"/>
    <sheet name="DATA" sheetId="65" r:id="rId19"/>
    <sheet name="LINKS" sheetId="75" state="veryHidden" r:id="rId20"/>
  </sheets>
  <definedNames>
    <definedName name="_xlnm._FilterDatabase" localSheetId="18" hidden="1">DATA!$A$8:$U$992</definedName>
    <definedName name="CHART.chart2seriesname">GTS_SHEET!$K$36</definedName>
    <definedName name="CHART.choices">INDIRECT(GTS_SHEET!$K$17)</definedName>
    <definedName name="CHART2.years">TRANSPOSE(OFFSET(INDEX(REP.yearsrange,1),0,0,COUNTA(REP.yearsrange),1))</definedName>
    <definedName name="CHARTYEAR">VALUE(INDEX(REP.yearsrange,CHARTYEAR.no))</definedName>
    <definedName name="CHARTYEAR.no">GTS_SHEET!$J$35</definedName>
    <definedName name="COMPARISONYEAR">VALUE(IF(INDEX(REP.yearsrange,COMPARISONYEAR.no)&gt;=FOCUSYEAR,FOCUSYEAR,INDEX(REP.yearsrange,COMPARISONYEAR.no)))</definedName>
    <definedName name="COMPARISONYEAR.no">GTS_SHEET!$J$33</definedName>
    <definedName name="DV">INDEX(TYPE.choices,6)</definedName>
    <definedName name="EI.MONTHLYDATA">IFERROR(INDEX(DATA!B:B,MATCH(REP.yearsrange&amp;"."&amp;'ECONOMIC IMPACT'!$A$1&amp;"."&amp;TYPE.userselected,REP.lookup,0))*REP.indexationfactors/'ECONOMIC IMPACT'!$A$2,0)</definedName>
    <definedName name="EI.SHARE_TOTAL_ANN">IFERROR(INDEX(DATA!N:N,MATCH(TRANSPOSE(REP.yearsrange)&amp;"."&amp;'ECONOMIC IMPACT'!$A$1&amp;"."&amp;TOTAL,REP.lookup,0))*TRANSPOSE(REP.indexationfactors)/'ECONOMIC IMPACT'!$A$4,"")</definedName>
    <definedName name="EI.SHARE_VT_ANN">IFERROR(IF(TYPE.no=5,(INDEX(DATA!N:N,MATCH(TRANSPOSE(REP.yearsrange)&amp;"."&amp;'ECONOMIC IMPACT'!$A$1&amp;"."&amp;INDEX(TYPE.choices,1),REP.lookup,0))-INDEX(DATA!N:N,MATCH(TRANSPOSE(REP.yearsrange)&amp;"."&amp;'ECONOMIC IMPACT'!$A$1&amp;"."&amp;INDEX(TYPE.choices,6),REP.lookup,0)))*TRANSPOSE(REP.indexationfactors),INDEX(DATA!N:N,MATCH(TRANSPOSE(REP.yearsrange)&amp;"."&amp;'ECONOMIC IMPACT'!$A$1&amp;"."&amp;TYPE.userselected,REP.lookup,0))*TRANSPOSE(REP.indexationfactors))/'ECONOMIC IMPACT'!$A$2,"")</definedName>
    <definedName name="EISHAREOFTOTAL" localSheetId="13">INDIRECT(EMPLOYMENT!$D$32)</definedName>
    <definedName name="EISHAREOFTOTAL" localSheetId="15">INDIRECT('SECTORAL ANALYSIS'!$D$32)</definedName>
    <definedName name="EISHAREOFTOTAL" localSheetId="12">INDIRECT('VISITOR DAYS'!$D$32)</definedName>
    <definedName name="EISHAREOFTOTAL" localSheetId="11">INDIRECT('VISITOR NUMBERS'!$D$32)</definedName>
    <definedName name="EISHAREOFTOTAL">INDIRECT('ECONOMIC IMPACT'!$D$32)</definedName>
    <definedName name="EIVISTYPETOTAL" localSheetId="13">INDIRECT(EMPLOYMENT!$D$30)</definedName>
    <definedName name="EIVISTYPETOTAL" localSheetId="15">INDIRECT('SECTORAL ANALYSIS'!$D$30)</definedName>
    <definedName name="EIVISTYPETOTAL" localSheetId="12">INDIRECT('VISITOR DAYS'!$D$30)</definedName>
    <definedName name="EIVISTYPETOTAL" localSheetId="11">INDIRECT('VISITOR NUMBERS'!$D$30)</definedName>
    <definedName name="EIVISTYPETOTAL">INDIRECT('ECONOMIC IMPACT'!$D$30)</definedName>
    <definedName name="EIYEARS" localSheetId="13">INDIRECT(EMPLOYMENT!$D$29)</definedName>
    <definedName name="EIYEARS" localSheetId="15">INDIRECT('SECTORAL ANALYSIS'!$D$29)</definedName>
    <definedName name="EIYEARS" localSheetId="12">INDIRECT('VISITOR DAYS'!$D$29)</definedName>
    <definedName name="EIYEARS" localSheetId="11">INDIRECT('VISITOR NUMBERS'!$D$29)</definedName>
    <definedName name="EIYEARS">INDIRECT('ECONOMIC IMPACT'!$D$29)</definedName>
    <definedName name="EMP.MONTHLYDATA">IFERROR(INDEX(DATA!B:B,MATCH(REP.yearsrange&amp;"."&amp;EMPLOYMENT!$A$1&amp;"."&amp;TYPE.userselected,REP.lookup,0)),"")</definedName>
    <definedName name="EMP.SHARE_TOTAL_ANN">IFERROR(INDEX(DATA!N:N,MATCH(TRANSPOSE(REP.yearsrange)&amp;"."&amp;EMPLOYMENT!$A$1&amp;"."&amp;TOTAL,REP.lookup,0)),"")</definedName>
    <definedName name="EMP.SHARE_VT_ANN">IFERROR(IF(TYPE.no=5,INDEX(DATA!N:N,MATCH(TRANSPOSE(REP.yearsrange)&amp;"."&amp;EMPLOYMENT!$A$1&amp;"."&amp;TOTAL,REP.lookup,0))-INDEX(DATA!N:N,MATCH(TRANSPOSE(REP.yearsrange)&amp;"."&amp;EMPLOYMENT!$A$1&amp;"."&amp;DV,REP.lookup,0)),INDEX(DATA!N:N,MATCH(TRANSPOSE(REP.yearsrange)&amp;"."&amp;EMPLOYMENT!$A$1&amp;"."&amp;TYPE.userselected,REP.lookup,0))),"")</definedName>
    <definedName name="FOCUSYEAR">VALUE(INDEX(REP.yearsrange,FOCUSYEAR.no))</definedName>
    <definedName name="FOCUSYEAR.choices">INDIRECT(GTS_SHEET!$D$17)</definedName>
    <definedName name="FOCUSYEAR.no">GTS_SHEET!$J$34</definedName>
    <definedName name="GTS_CJ">GTS_SHEET!$O$50:$O$59</definedName>
    <definedName name="GTS_DC">GTS_SHEET!$O$39:$O$48</definedName>
    <definedName name="GTS_DJ">GTS_SHEET!$O$28:$O$37</definedName>
    <definedName name="GTS_RM">GTS_SHEET!$O$61:$O$70</definedName>
    <definedName name="INDEX.no">GTS_SHEET!$E$31</definedName>
    <definedName name="NA_LABEL">"Not Applicable"</definedName>
    <definedName name="NSA.bedlabel">INDIRECT('ACCOMMODATION SUPPLY'!#REF!)</definedName>
    <definedName name="NSA.bedvalue">INDIRECT('ACCOMMODATION SUPPLY'!$O$22)</definedName>
    <definedName name="NSA.estlabel">INDIRECT('ACCOMMODATION SUPPLY'!#REF!)</definedName>
    <definedName name="NSA.ESTVALUE">INDIRECT('ACCOMMODATION SUPPLY'!#REF!)</definedName>
    <definedName name="_xlnm.Print_Area" localSheetId="14">'ACCOMMODATION SUPPLY'!$E$6:$X$38</definedName>
    <definedName name="_xlnm.Print_Area" localSheetId="3">ANNEX!$E$6:$X$37</definedName>
    <definedName name="_xlnm.Print_Area" localSheetId="6">'COMPARATIVE HEADLINES'!$E$6:$X$36</definedName>
    <definedName name="_xlnm.Print_Area" localSheetId="17">CONTENTS!$E$6:$X$38</definedName>
    <definedName name="_xlnm.Print_Area" localSheetId="16">COVER!$E$6:$X$35</definedName>
    <definedName name="_xlnm.Print_Area" localSheetId="10">'ECONOMIC IMPACT'!$E$6:$X$38</definedName>
    <definedName name="_xlnm.Print_Area" localSheetId="13">EMPLOYMENT!$E$6:$X$38</definedName>
    <definedName name="_xlnm.Print_Area" localSheetId="4">HOME!$E$6:$X$37</definedName>
    <definedName name="_xlnm.Print_Area" localSheetId="7">'KEY MEASURES'!$E$6:$X$38</definedName>
    <definedName name="_xlnm.Print_Area" localSheetId="9">'MONTHLY DISTRIBUTION'!$E$6:$X$38</definedName>
    <definedName name="_xlnm.Print_Area" localSheetId="2">PB!$E$6:$X$37</definedName>
    <definedName name="_xlnm.Print_Area" localSheetId="15">'SECTORAL ANALYSIS'!$E$6:$X$38</definedName>
    <definedName name="_xlnm.Print_Area" localSheetId="5">'USER GUIDE'!$E$6:$X$38</definedName>
    <definedName name="_xlnm.Print_Area" localSheetId="12">'VISITOR DAYS'!$E$6:$X$38</definedName>
    <definedName name="_xlnm.Print_Area" localSheetId="11">'VISITOR NUMBERS'!$E$6:$X$38</definedName>
    <definedName name="_xlnm.Print_Area" localSheetId="8">'VISITOR TYPE DISTRIBUTION'!$E$6:$X$38</definedName>
    <definedName name="REP.AllYear">GTS_SHEET!$O$22</definedName>
    <definedName name="REP.alookup">DATA!$A:$A</definedName>
    <definedName name="REP.areacode">GTS_SHEET!$D$14</definedName>
    <definedName name="REP.authority">GTS_SHEET!$D$6</definedName>
    <definedName name="REP.companycontacts">GTS_SHEET!$C$37:$C$48</definedName>
    <definedName name="REP.data">DATA!$C$8:'DATA'!$T$608</definedName>
    <definedName name="REP.footer1">GTS_SHEET!$J$5</definedName>
    <definedName name="REP.footer2">GTS_SHEET!$J$6</definedName>
    <definedName name="REP.gts">GTS_SHEET!$D$3</definedName>
    <definedName name="REP.highlightdown">GTS_SHEET!$J$9</definedName>
    <definedName name="REP.highlightsame">GTS_SHEET!$J$11</definedName>
    <definedName name="REP.highlightup">GTS_SHEET!$J$10</definedName>
    <definedName name="REP.ind">GTS_SHEET!$D$15</definedName>
    <definedName name="REP.indexationfactors">GTS_SHEET!$G$19:$G$30</definedName>
    <definedName name="REP.indexationtable">'RPI13'!$A$1:$AC$29</definedName>
    <definedName name="REP.indexationtoFOCUSYEAR">GTS_SHEET!$F$19:$F$30</definedName>
    <definedName name="REP.indexed">IF(INDEX.no=1,"YES","NO")</definedName>
    <definedName name="REP.issued">GTS_SHEET!$D$9</definedName>
    <definedName name="REP.lookup">DATA!$C:$C</definedName>
    <definedName name="REP.monthnos">DATA!$H$7:$T$7</definedName>
    <definedName name="REP.months">DATA!$H$8:$S$8</definedName>
    <definedName name="REP.percenthighlight">GTS_SHEET!$J$8</definedName>
    <definedName name="rep.percenthighlightchoices">GTS_SHEET!$L$8:$L$11</definedName>
    <definedName name="rep.percenthighlightno">GTS_SHEET!$K$8</definedName>
    <definedName name="REP.product">GTS_SHEET!$D$4</definedName>
    <definedName name="REP.QuarterAllYear">GTS_SHEET!$O$18:$O$22</definedName>
    <definedName name="REP.quarters">GTS_SHEET!$O$18:$O$21</definedName>
    <definedName name="REP.reporttype">GTS_SHEET!$D$5</definedName>
    <definedName name="REP.status">GTS_SHEET!$D$10</definedName>
    <definedName name="REP.subzone">GTS_SHEET!$D$7</definedName>
    <definedName name="REP.title1">GTS_SHEET!$J$3</definedName>
    <definedName name="REP.title2">GTS_SHEET!$J$4</definedName>
    <definedName name="REP.user">GTS_SHEET!$D$8</definedName>
    <definedName name="REP.yearnos">GTS_SHEET!$C$19:$C$30</definedName>
    <definedName name="REP.yearnosINV">GTS_SHEET!$B$19:$B$30</definedName>
    <definedName name="REP.yearsrange">GTS_SHEET!$D$19:$D$30</definedName>
    <definedName name="REP.YN">GTS_SHEET!$F$32:$F$33</definedName>
    <definedName name="SA.BEDLABEL">INDIRECT('ACCOMMODATION SUPPLY'!$M$8)</definedName>
    <definedName name="SA.bedvalue">INDIRECT('ACCOMMODATION SUPPLY'!$E$17)</definedName>
    <definedName name="SA.estlabel">INDIRECT('ACCOMMODATION SUPPLY'!$N$8)</definedName>
    <definedName name="SA.estvalue">INDIRECT('ACCOMMODATION SUPPLY'!#REF!)</definedName>
    <definedName name="TD.MONTHLYDATA">IFERROR(INDEX(DATA!B:B,MATCH(REP.yearsrange&amp;"."&amp;'VISITOR DAYS'!$A$1&amp;"."&amp;TYPE.userselected,REP.lookup,0))/'VISITOR DAYS'!$A$2,0)</definedName>
    <definedName name="TD.SHARE_TOTAL_ANN">IFERROR(INDEX(DATA!N:N,MATCH(TRANSPOSE(REP.yearsrange)&amp;"."&amp;'VISITOR DAYS'!$A$1&amp;"."&amp;TOTAL,REP.lookup,0))/'VISITOR DAYS'!$A$4,"")</definedName>
    <definedName name="TD.SHARE_VT_ANN">IFERROR(IF(TYPE.no=5,INDEX(DATA!N:N,MATCH(TRANSPOSE(REP.yearsrange)&amp;"."&amp;'VISITOR DAYS'!$A$1&amp;"."&amp;TOTAL,REP.lookup,0))-INDEX(DATA!N:N,MATCH(TRANSPOSE(REP.yearsrange)&amp;"."&amp;'VISITOR DAYS'!$A$1&amp;"."&amp;DV,REP.lookup,0)),INDEX(DATA!N:N,MATCH(TRANSPOSE(REP.yearsrange)&amp;"."&amp;'VISITOR DAYS'!$A$1&amp;"."&amp;TYPE.userselected,REP.lookup,0)))/'VISITOR DAYS'!$A$2,"")</definedName>
    <definedName name="TN.MONTHLYDATA">IFERROR(INDEX(DATA!B:B,MATCH(REP.yearsrange&amp;"."&amp;'VISITOR NUMBERS'!$A$1&amp;"."&amp;TYPE.userselected,REP.lookup,0))/'VISITOR NUMBERS'!$A$2,"")</definedName>
    <definedName name="TN.SHARE_TOTAL_ANN">IFERROR(INDEX(DATA!N:N,MATCH(TRANSPOSE(REP.yearsrange)&amp;"."&amp;'VISITOR NUMBERS'!$A$1&amp;"."&amp;TOTAL,REP.lookup,0))/'VISITOR NUMBERS'!$A$4,"")</definedName>
    <definedName name="TN.SHARE_VT_ANN">IFERROR(IF(TYPE.no=5,INDEX(DATA!N:N,MATCH(TRANSPOSE(REP.yearsrange)&amp;"."&amp;'VISITOR NUMBERS'!$A$1&amp;"."&amp;TOTAL,REP.lookup,0))-INDEX(DATA!N:N,MATCH(TRANSPOSE(REP.yearsrange)&amp;"."&amp;'VISITOR NUMBERS'!$A$1&amp;"."&amp;DV,REP.lookup,0)),INDEX(DATA!N:N,MATCH(TRANSPOSE(REP.yearsrange)&amp;"."&amp;'VISITOR NUMBERS'!$A$1&amp;"."&amp;TYPE.userselected,REP.lookup,0)))/'VISITOR NUMBERS'!$A$2,"")</definedName>
    <definedName name="TOTAL">INDEX(TYPE.choices,1)</definedName>
    <definedName name="TYPE.choices">GTS_SHEET!$I$42:$I$47</definedName>
    <definedName name="TYPE.no">GTS_SHEET!$J$48</definedName>
    <definedName name="TYPE.supplymeasure">GTS_SHEET!$J$49</definedName>
    <definedName name="TYPE.userselected">GTS_SHEET!$I$49</definedName>
    <definedName name="VISTYPE.short" comment="=if(right(type.userselected,3)=&quot;ion&quot;,left(type.userselected,len(type.userselected)-14),type.userselected)">IF(RIGHT(TYPE.userselected,3)="ion",LEFT(TYPE.userselected,LEN(TYPE.userselected)-14),TYPE.userselected)</definedName>
    <definedName name="wrn.Sumaries." hidden="1">{#N/A,#N/A,FALSE,"PERTH"}</definedName>
    <definedName name="YEARSINREP">GTS_SHEET!$G$31</definedName>
    <definedName name="Z_8B230698_F8B2_4D0F_832E_63DA4284639C_.wvu.PrintArea" localSheetId="14" hidden="1">'ACCOMMODATION SUPPLY'!$E$8:$X$38</definedName>
    <definedName name="Z_8B230698_F8B2_4D0F_832E_63DA4284639C_.wvu.PrintArea" localSheetId="3" hidden="1">ANNEX!$E$9:$X$37</definedName>
    <definedName name="Z_8B230698_F8B2_4D0F_832E_63DA4284639C_.wvu.PrintArea" localSheetId="6" hidden="1">'COMPARATIVE HEADLINES'!$E$9:$X$36</definedName>
    <definedName name="Z_8B230698_F8B2_4D0F_832E_63DA4284639C_.wvu.PrintArea" localSheetId="17" hidden="1">CONTENTS!$E$9:$X$38</definedName>
    <definedName name="Z_8B230698_F8B2_4D0F_832E_63DA4284639C_.wvu.PrintArea" localSheetId="16" hidden="1">COVER!$E$9:$X$35</definedName>
    <definedName name="Z_8B230698_F8B2_4D0F_832E_63DA4284639C_.wvu.PrintArea" localSheetId="10" hidden="1">'ECONOMIC IMPACT'!$E$9:$X$38</definedName>
    <definedName name="Z_8B230698_F8B2_4D0F_832E_63DA4284639C_.wvu.PrintArea" localSheetId="13" hidden="1">EMPLOYMENT!$E$9:$X$38</definedName>
    <definedName name="Z_8B230698_F8B2_4D0F_832E_63DA4284639C_.wvu.PrintArea" localSheetId="4" hidden="1">HOME!$E$10:$X$37</definedName>
    <definedName name="Z_8B230698_F8B2_4D0F_832E_63DA4284639C_.wvu.PrintArea" localSheetId="7" hidden="1">'KEY MEASURES'!$E$9:$X$38</definedName>
    <definedName name="Z_8B230698_F8B2_4D0F_832E_63DA4284639C_.wvu.PrintArea" localSheetId="9" hidden="1">'MONTHLY DISTRIBUTION'!$E$9:$X$38</definedName>
    <definedName name="Z_8B230698_F8B2_4D0F_832E_63DA4284639C_.wvu.PrintArea" localSheetId="2" hidden="1">PB!$E$9:$X$37</definedName>
    <definedName name="Z_8B230698_F8B2_4D0F_832E_63DA4284639C_.wvu.PrintArea" localSheetId="15" hidden="1">'SECTORAL ANALYSIS'!$E$8:$X$38</definedName>
    <definedName name="Z_8B230698_F8B2_4D0F_832E_63DA4284639C_.wvu.PrintArea" localSheetId="5" hidden="1">'USER GUIDE'!$E$9:$X$38</definedName>
    <definedName name="Z_8B230698_F8B2_4D0F_832E_63DA4284639C_.wvu.PrintArea" localSheetId="12" hidden="1">'VISITOR DAYS'!$E$9:$X$38</definedName>
    <definedName name="Z_8B230698_F8B2_4D0F_832E_63DA4284639C_.wvu.PrintArea" localSheetId="11" hidden="1">'VISITOR NUMBERS'!$E$9:$X$38</definedName>
    <definedName name="Z_8B230698_F8B2_4D0F_832E_63DA4284639C_.wvu.PrintArea" localSheetId="8" hidden="1">'VISITOR TYPE DISTRIBUTION'!$E$9:$X$38</definedName>
    <definedName name="Z_8B230698_F8B2_4D0F_832E_63DA4284639C_.wvu.Rows" localSheetId="14" hidden="1">'ACCOMMODATION SUPPLY'!$1:$1,'ACCOMMODATION SUPPLY'!#REF!</definedName>
    <definedName name="Z_8B230698_F8B2_4D0F_832E_63DA4284639C_.wvu.Rows" localSheetId="3" hidden="1">ANNEX!$1:$1,ANNEX!#REF!</definedName>
    <definedName name="Z_8B230698_F8B2_4D0F_832E_63DA4284639C_.wvu.Rows" localSheetId="6" hidden="1">'COMPARATIVE HEADLINES'!$1:$1,'COMPARATIVE HEADLINES'!#REF!</definedName>
    <definedName name="Z_8B230698_F8B2_4D0F_832E_63DA4284639C_.wvu.Rows" localSheetId="17" hidden="1">CONTENTS!$1:$1,CONTENTS!#REF!</definedName>
    <definedName name="Z_8B230698_F8B2_4D0F_832E_63DA4284639C_.wvu.Rows" localSheetId="16" hidden="1">COVER!$1:$1,COVER!#REF!</definedName>
    <definedName name="Z_8B230698_F8B2_4D0F_832E_63DA4284639C_.wvu.Rows" localSheetId="10" hidden="1">'ECONOMIC IMPACT'!$1:$1,'ECONOMIC IMPACT'!#REF!</definedName>
    <definedName name="Z_8B230698_F8B2_4D0F_832E_63DA4284639C_.wvu.Rows" localSheetId="13" hidden="1">EMPLOYMENT!$1:$1,EMPLOYMENT!#REF!</definedName>
    <definedName name="Z_8B230698_F8B2_4D0F_832E_63DA4284639C_.wvu.Rows" localSheetId="4" hidden="1">HOME!$1:$1,HOME!#REF!</definedName>
    <definedName name="Z_8B230698_F8B2_4D0F_832E_63DA4284639C_.wvu.Rows" localSheetId="7" hidden="1">'KEY MEASURES'!$1:$1,'KEY MEASURES'!#REF!</definedName>
    <definedName name="Z_8B230698_F8B2_4D0F_832E_63DA4284639C_.wvu.Rows" localSheetId="9" hidden="1">'MONTHLY DISTRIBUTION'!$1:$1,'MONTHLY DISTRIBUTION'!#REF!</definedName>
    <definedName name="Z_8B230698_F8B2_4D0F_832E_63DA4284639C_.wvu.Rows" localSheetId="2" hidden="1">PB!$1:$1,PB!#REF!</definedName>
    <definedName name="Z_8B230698_F8B2_4D0F_832E_63DA4284639C_.wvu.Rows" localSheetId="15" hidden="1">'SECTORAL ANALYSIS'!$1:$1,'SECTORAL ANALYSIS'!#REF!</definedName>
    <definedName name="Z_8B230698_F8B2_4D0F_832E_63DA4284639C_.wvu.Rows" localSheetId="5" hidden="1">'USER GUIDE'!$1:$1,'USER GUIDE'!#REF!</definedName>
    <definedName name="Z_8B230698_F8B2_4D0F_832E_63DA4284639C_.wvu.Rows" localSheetId="12" hidden="1">'VISITOR DAYS'!$1:$1,'VISITOR DAYS'!#REF!</definedName>
    <definedName name="Z_8B230698_F8B2_4D0F_832E_63DA4284639C_.wvu.Rows" localSheetId="11" hidden="1">'VISITOR NUMBERS'!$1:$1,'VISITOR NUMBERS'!#REF!</definedName>
    <definedName name="Z_8B230698_F8B2_4D0F_832E_63DA4284639C_.wvu.Rows" localSheetId="8" hidden="1">'VISITOR TYPE DISTRIBUTION'!$1:$1,'VISITOR TYPE DISTRIBUTION'!#REF!</definedName>
  </definedNames>
  <calcPr calcId="191029" calcOnSave="0"/>
  <fileRecoveryPr autoRecover="0"/>
  <extLst>
    <ext xmlns:x14="http://schemas.microsoft.com/office/spreadsheetml/2009/9/main" uri="{79F54976-1DA5-4618-B147-4CDE4B953A38}">
      <x14:workbookPr discardImageEditData="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19" i="1" l="1" a="1"/>
  <c r="G19" i="1" s="1"/>
  <c r="F19" i="1" a="1"/>
  <c r="F19" i="1" s="1"/>
  <c r="G30" i="1" l="1"/>
  <c r="G29" i="1"/>
  <c r="G27" i="1"/>
  <c r="G28" i="1"/>
  <c r="G26" i="1"/>
  <c r="G25" i="1"/>
  <c r="G24" i="1"/>
  <c r="G23" i="1"/>
  <c r="G22" i="1"/>
  <c r="G21" i="1"/>
  <c r="G20" i="1"/>
  <c r="F30" i="1"/>
  <c r="F29" i="1"/>
  <c r="F27" i="1"/>
  <c r="F26" i="1"/>
  <c r="F28" i="1"/>
  <c r="F25" i="1"/>
  <c r="F24" i="1"/>
  <c r="F23" i="1"/>
  <c r="F22" i="1"/>
  <c r="F21" i="1"/>
  <c r="F20" i="1"/>
  <c r="K34" i="1"/>
  <c r="K33" i="1"/>
  <c r="K35" i="1"/>
  <c r="F18" i="1"/>
  <c r="J19" i="1" l="1"/>
  <c r="K19" i="1" s="1"/>
  <c r="I22" i="1" a="1"/>
  <c r="I22" i="1" s="1"/>
  <c r="J20" i="1" a="1"/>
  <c r="J20" i="1" s="1"/>
  <c r="K20" i="1" s="1"/>
  <c r="C38" i="1" a="1"/>
  <c r="C39" i="1" l="1"/>
  <c r="C43" i="1"/>
  <c r="C47" i="1"/>
  <c r="C40" i="1"/>
  <c r="C44" i="1"/>
  <c r="C41" i="1"/>
  <c r="C45" i="1"/>
  <c r="C38" i="1"/>
  <c r="C42" i="1"/>
  <c r="C46" i="1"/>
  <c r="J28" i="1"/>
  <c r="K28" i="1" s="1"/>
  <c r="I27" i="1"/>
  <c r="I23" i="1"/>
  <c r="J24" i="1"/>
  <c r="K24" i="1" s="1"/>
  <c r="J29" i="1"/>
  <c r="K29" i="1" s="1"/>
  <c r="I28" i="1"/>
  <c r="J25" i="1"/>
  <c r="K25" i="1" s="1"/>
  <c r="I24" i="1"/>
  <c r="J21" i="1"/>
  <c r="K21" i="1" s="1"/>
  <c r="J31" i="1"/>
  <c r="K31" i="1" s="1"/>
  <c r="J30" i="1"/>
  <c r="K30" i="1" s="1"/>
  <c r="I29" i="1"/>
  <c r="J26" i="1"/>
  <c r="K26" i="1" s="1"/>
  <c r="I25" i="1"/>
  <c r="J22" i="1"/>
  <c r="K22" i="1" s="1"/>
  <c r="J32" i="1"/>
  <c r="K32" i="1" s="1"/>
  <c r="I31" i="1"/>
  <c r="I30" i="1"/>
  <c r="J27" i="1"/>
  <c r="K27" i="1" s="1"/>
  <c r="I26" i="1"/>
  <c r="J23" i="1"/>
  <c r="K23" i="1" s="1"/>
  <c r="E32" i="68"/>
  <c r="E26" i="68"/>
  <c r="I32" i="68"/>
  <c r="E17" i="68" l="1"/>
  <c r="E8" i="68"/>
  <c r="M26" i="68"/>
  <c r="M27" i="68" s="1"/>
  <c r="K26" i="68"/>
  <c r="L27" i="68" s="1"/>
  <c r="I26" i="68"/>
  <c r="I17" i="68"/>
  <c r="K17" i="68"/>
  <c r="L18" i="68" s="1"/>
  <c r="M17" i="68"/>
  <c r="M18" i="68" s="1"/>
  <c r="I8" i="68"/>
  <c r="M8" i="68"/>
  <c r="N9" i="68" s="1"/>
  <c r="K8" i="68"/>
  <c r="L9" i="68" s="1"/>
  <c r="N27" i="68" l="1"/>
  <c r="K27" i="68"/>
  <c r="N18" i="68"/>
  <c r="K18" i="68"/>
  <c r="K9" i="68"/>
  <c r="M9" i="68"/>
  <c r="N6" i="60"/>
  <c r="C991" i="65" l="1"/>
  <c r="A990" i="65"/>
  <c r="C989" i="65"/>
  <c r="C988" i="65"/>
  <c r="C987" i="65"/>
  <c r="C985" i="65"/>
  <c r="C984" i="65"/>
  <c r="C983" i="65"/>
  <c r="C981" i="65"/>
  <c r="C992" i="65"/>
  <c r="C979" i="65"/>
  <c r="C977" i="65"/>
  <c r="C976" i="65"/>
  <c r="C975" i="65"/>
  <c r="C973" i="65"/>
  <c r="C972" i="65"/>
  <c r="C971" i="65"/>
  <c r="C970" i="65"/>
  <c r="C969" i="65"/>
  <c r="C967" i="65"/>
  <c r="C965" i="65"/>
  <c r="C964" i="65"/>
  <c r="C963" i="65"/>
  <c r="C961" i="65"/>
  <c r="C959" i="65"/>
  <c r="C958" i="65"/>
  <c r="C957" i="65"/>
  <c r="C956" i="65"/>
  <c r="C955" i="65"/>
  <c r="C954" i="65"/>
  <c r="C953" i="65"/>
  <c r="C952" i="65"/>
  <c r="C951" i="65"/>
  <c r="C950" i="65"/>
  <c r="A950" i="65"/>
  <c r="C949" i="65"/>
  <c r="A949" i="65"/>
  <c r="C948" i="65"/>
  <c r="A948" i="65"/>
  <c r="C947" i="65"/>
  <c r="A947" i="65"/>
  <c r="C946" i="65"/>
  <c r="A946" i="65"/>
  <c r="C945" i="65"/>
  <c r="A945" i="65"/>
  <c r="A943" i="65"/>
  <c r="A939" i="65"/>
  <c r="A935" i="65"/>
  <c r="C943" i="65"/>
  <c r="C942" i="65"/>
  <c r="A942" i="65"/>
  <c r="C941" i="65"/>
  <c r="A941" i="65"/>
  <c r="C939" i="65"/>
  <c r="C938" i="65"/>
  <c r="A938" i="65"/>
  <c r="C937" i="65"/>
  <c r="A937" i="65"/>
  <c r="A936" i="65"/>
  <c r="C935" i="65"/>
  <c r="C934" i="65"/>
  <c r="A934" i="65"/>
  <c r="C933" i="65"/>
  <c r="A933" i="65"/>
  <c r="A931" i="65"/>
  <c r="A927" i="65"/>
  <c r="C931" i="65"/>
  <c r="C929" i="65"/>
  <c r="A929" i="65"/>
  <c r="C927" i="65"/>
  <c r="A926" i="65"/>
  <c r="A925" i="65"/>
  <c r="A924" i="65"/>
  <c r="A923" i="65"/>
  <c r="A922" i="65"/>
  <c r="A921" i="65"/>
  <c r="A992" i="65" l="1"/>
  <c r="A984" i="65"/>
  <c r="A988" i="65"/>
  <c r="A982" i="65"/>
  <c r="A986" i="65"/>
  <c r="A954" i="65"/>
  <c r="A964" i="65"/>
  <c r="A983" i="65"/>
  <c r="A974" i="65"/>
  <c r="A958" i="65"/>
  <c r="A962" i="65"/>
  <c r="A966" i="65"/>
  <c r="A968" i="65"/>
  <c r="A951" i="65"/>
  <c r="A953" i="65"/>
  <c r="A955" i="65"/>
  <c r="A957" i="65"/>
  <c r="A959" i="65"/>
  <c r="A963" i="65"/>
  <c r="A967" i="65"/>
  <c r="A976" i="65"/>
  <c r="A952" i="65"/>
  <c r="A956" i="65"/>
  <c r="A960" i="65"/>
  <c r="A979" i="65"/>
  <c r="A991" i="65"/>
  <c r="A969" i="65"/>
  <c r="C960" i="65"/>
  <c r="A971" i="65"/>
  <c r="A975" i="65"/>
  <c r="A970" i="65"/>
  <c r="A972" i="65"/>
  <c r="A978" i="65"/>
  <c r="A987" i="65"/>
  <c r="A980" i="65"/>
  <c r="A930" i="65"/>
  <c r="C930" i="65"/>
  <c r="C928" i="65"/>
  <c r="A928" i="65"/>
  <c r="A932" i="65"/>
  <c r="C932" i="65"/>
  <c r="A940" i="65"/>
  <c r="A944" i="65"/>
  <c r="C936" i="65"/>
  <c r="C940" i="65"/>
  <c r="C944" i="65"/>
  <c r="C962" i="65"/>
  <c r="C966" i="65"/>
  <c r="C968" i="65"/>
  <c r="A961" i="65"/>
  <c r="A965" i="65"/>
  <c r="C980" i="65"/>
  <c r="A973" i="65"/>
  <c r="A977" i="65"/>
  <c r="C974" i="65"/>
  <c r="C978" i="65"/>
  <c r="A981" i="65"/>
  <c r="C982" i="65"/>
  <c r="A985" i="65"/>
  <c r="C986" i="65"/>
  <c r="A989" i="65"/>
  <c r="C990" i="65"/>
  <c r="C921" i="65"/>
  <c r="C922" i="65"/>
  <c r="C923" i="65"/>
  <c r="C924" i="65"/>
  <c r="C925" i="65"/>
  <c r="C926" i="65"/>
  <c r="P7" i="61" l="1"/>
  <c r="P6" i="61"/>
  <c r="E34" i="59" l="1"/>
  <c r="E34" i="58"/>
  <c r="E34" i="57"/>
  <c r="E34" i="55"/>
  <c r="O23" i="66" l="1"/>
  <c r="S6" i="66"/>
  <c r="S6" i="67"/>
  <c r="O23" i="67"/>
  <c r="E8" i="56" l="1"/>
  <c r="E19" i="56"/>
  <c r="A1" i="58"/>
  <c r="A1" i="57"/>
  <c r="P7" i="56" l="1"/>
  <c r="F31" i="1"/>
  <c r="E8" i="66" l="1"/>
  <c r="D5" i="1" l="1"/>
  <c r="A1" i="73" l="1"/>
  <c r="D31" i="73" s="1"/>
  <c r="D29" i="73" l="1"/>
  <c r="D30" i="73"/>
  <c r="D28" i="73"/>
  <c r="D32" i="73"/>
  <c r="D27" i="73"/>
  <c r="E21" i="72" a="1"/>
  <c r="E21" i="72" s="1"/>
  <c r="F20" i="72"/>
  <c r="S6" i="72"/>
  <c r="E9" i="72" s="1"/>
  <c r="Z16" i="72"/>
  <c r="O11" i="72" a="1"/>
  <c r="O21" i="72" s="1"/>
  <c r="A1" i="72"/>
  <c r="D30" i="72" s="1"/>
  <c r="E32" i="72" l="1"/>
  <c r="E31" i="72"/>
  <c r="E22" i="72"/>
  <c r="E27" i="72"/>
  <c r="E26" i="72"/>
  <c r="E30" i="72"/>
  <c r="E24" i="72"/>
  <c r="E28" i="72"/>
  <c r="E23" i="72"/>
  <c r="E29" i="72"/>
  <c r="E25" i="72"/>
  <c r="O14" i="72"/>
  <c r="O18" i="72"/>
  <c r="O22" i="72"/>
  <c r="D27" i="72"/>
  <c r="D31" i="72"/>
  <c r="O11" i="72"/>
  <c r="O15" i="72"/>
  <c r="O19" i="72"/>
  <c r="O23" i="72"/>
  <c r="D28" i="72"/>
  <c r="D32" i="72"/>
  <c r="O12" i="72"/>
  <c r="O16" i="72"/>
  <c r="O20" i="72"/>
  <c r="O24" i="72"/>
  <c r="D29" i="72"/>
  <c r="O13" i="72"/>
  <c r="O17" i="72"/>
  <c r="F11" i="71" a="1"/>
  <c r="F11" i="71" s="1"/>
  <c r="Z16" i="71"/>
  <c r="A1" i="71"/>
  <c r="D30" i="71" s="1"/>
  <c r="F22" i="71" l="1"/>
  <c r="F18" i="71"/>
  <c r="F14" i="71"/>
  <c r="F21" i="71"/>
  <c r="F17" i="71"/>
  <c r="F13" i="71"/>
  <c r="F24" i="71"/>
  <c r="F20" i="71"/>
  <c r="F16" i="71"/>
  <c r="F12" i="71"/>
  <c r="F23" i="71"/>
  <c r="F19" i="71"/>
  <c r="F15" i="71"/>
  <c r="D27" i="71"/>
  <c r="D31" i="71"/>
  <c r="D28" i="71"/>
  <c r="D32" i="71"/>
  <c r="D29" i="71"/>
  <c r="Z16" i="69"/>
  <c r="A1" i="69"/>
  <c r="D32" i="69" s="1"/>
  <c r="D29" i="69" l="1"/>
  <c r="D30" i="69"/>
  <c r="D27" i="69"/>
  <c r="D31" i="69"/>
  <c r="D28" i="69"/>
  <c r="C812" i="65"/>
  <c r="C808" i="65"/>
  <c r="C804" i="65"/>
  <c r="C800" i="65"/>
  <c r="C798" i="65"/>
  <c r="C794" i="65"/>
  <c r="C789" i="65"/>
  <c r="C787" i="65"/>
  <c r="C781" i="65"/>
  <c r="C779" i="65"/>
  <c r="C777" i="65"/>
  <c r="C773" i="65"/>
  <c r="C771" i="65"/>
  <c r="C765" i="65"/>
  <c r="C759" i="65"/>
  <c r="C755" i="65"/>
  <c r="C754" i="65"/>
  <c r="C750" i="65"/>
  <c r="C747" i="65"/>
  <c r="C746" i="65"/>
  <c r="C744" i="65"/>
  <c r="C740" i="65"/>
  <c r="C737" i="65"/>
  <c r="C736" i="65"/>
  <c r="C735" i="65"/>
  <c r="C733" i="65"/>
  <c r="C731" i="65"/>
  <c r="C729" i="65"/>
  <c r="C728" i="65"/>
  <c r="C727" i="65"/>
  <c r="C725" i="65"/>
  <c r="C723" i="65"/>
  <c r="C721" i="65"/>
  <c r="C720" i="65"/>
  <c r="C719" i="65"/>
  <c r="C717" i="65"/>
  <c r="C715" i="65"/>
  <c r="C713" i="65"/>
  <c r="C709" i="65"/>
  <c r="C707" i="65"/>
  <c r="C701" i="65"/>
  <c r="C699" i="65"/>
  <c r="C693" i="65"/>
  <c r="C691" i="65"/>
  <c r="C685" i="65"/>
  <c r="C681" i="65"/>
  <c r="C679" i="65"/>
  <c r="C677" i="65"/>
  <c r="C675" i="65"/>
  <c r="C673" i="65"/>
  <c r="C671" i="65"/>
  <c r="C667" i="65"/>
  <c r="C665" i="65"/>
  <c r="C663" i="65"/>
  <c r="C661" i="65"/>
  <c r="C659" i="65"/>
  <c r="C656" i="65"/>
  <c r="C655" i="65"/>
  <c r="C654" i="65"/>
  <c r="C652" i="65"/>
  <c r="C650" i="65"/>
  <c r="C649" i="65"/>
  <c r="C648" i="65"/>
  <c r="C647" i="65"/>
  <c r="C645" i="65"/>
  <c r="C641" i="65"/>
  <c r="C640" i="65"/>
  <c r="C639" i="65"/>
  <c r="C637" i="65"/>
  <c r="C636" i="65"/>
  <c r="C635" i="65"/>
  <c r="C634" i="65"/>
  <c r="C633" i="65"/>
  <c r="C631" i="65"/>
  <c r="C630" i="65"/>
  <c r="C629" i="65"/>
  <c r="C628" i="65"/>
  <c r="A628" i="65"/>
  <c r="C627" i="65"/>
  <c r="C625" i="65"/>
  <c r="C623" i="65"/>
  <c r="C621" i="65"/>
  <c r="C620" i="65"/>
  <c r="C619" i="65"/>
  <c r="C617" i="65"/>
  <c r="C615" i="65"/>
  <c r="C613" i="65"/>
  <c r="C612" i="65"/>
  <c r="C609" i="65"/>
  <c r="A620" i="65"/>
  <c r="C643" i="65"/>
  <c r="A639" i="65"/>
  <c r="C669" i="65"/>
  <c r="A707" i="65"/>
  <c r="A699" i="65"/>
  <c r="A691" i="65"/>
  <c r="A701" i="65"/>
  <c r="A693" i="65"/>
  <c r="C651" i="65"/>
  <c r="C644" i="65"/>
  <c r="C624" i="65"/>
  <c r="C616" i="65"/>
  <c r="C738" i="65"/>
  <c r="C734" i="65"/>
  <c r="C732" i="65"/>
  <c r="C730" i="65"/>
  <c r="C726" i="65"/>
  <c r="C724" i="65"/>
  <c r="C722" i="65"/>
  <c r="C718" i="65"/>
  <c r="C716" i="65"/>
  <c r="C714" i="65"/>
  <c r="C761" i="65"/>
  <c r="C757" i="65"/>
  <c r="C745" i="65"/>
  <c r="C743" i="65"/>
  <c r="C741" i="65"/>
  <c r="C739" i="65"/>
  <c r="C790" i="65"/>
  <c r="A790" i="65"/>
  <c r="C788" i="65"/>
  <c r="A788" i="65"/>
  <c r="C786" i="65"/>
  <c r="A786" i="65"/>
  <c r="C784" i="65"/>
  <c r="A784" i="65"/>
  <c r="C782" i="65"/>
  <c r="A782" i="65"/>
  <c r="C780" i="65"/>
  <c r="A780" i="65"/>
  <c r="C778" i="65"/>
  <c r="A778" i="65"/>
  <c r="C776" i="65"/>
  <c r="A776" i="65"/>
  <c r="C774" i="65"/>
  <c r="A774" i="65"/>
  <c r="C772" i="65"/>
  <c r="A772" i="65"/>
  <c r="C770" i="65"/>
  <c r="A770" i="65"/>
  <c r="C768" i="65"/>
  <c r="A768" i="65"/>
  <c r="C766" i="65"/>
  <c r="A766" i="65"/>
  <c r="C816" i="65"/>
  <c r="C815" i="65"/>
  <c r="A815" i="65"/>
  <c r="C814" i="65"/>
  <c r="C810" i="65"/>
  <c r="A807" i="65"/>
  <c r="A799" i="65"/>
  <c r="A791" i="65"/>
  <c r="C813" i="65"/>
  <c r="C811" i="65"/>
  <c r="C809" i="65"/>
  <c r="C807" i="65"/>
  <c r="C805" i="65"/>
  <c r="C803" i="65"/>
  <c r="C801" i="65"/>
  <c r="C799" i="65"/>
  <c r="C797" i="65"/>
  <c r="C795" i="65"/>
  <c r="C793" i="65"/>
  <c r="C791" i="65"/>
  <c r="A747" i="65"/>
  <c r="A709" i="65" l="1"/>
  <c r="A635" i="65"/>
  <c r="A647" i="65"/>
  <c r="A793" i="65"/>
  <c r="A795" i="65"/>
  <c r="A797" i="65"/>
  <c r="A801" i="65"/>
  <c r="A803" i="65"/>
  <c r="A805" i="65"/>
  <c r="A809" i="65"/>
  <c r="A811" i="65"/>
  <c r="A813" i="65"/>
  <c r="A617" i="65"/>
  <c r="A619" i="65"/>
  <c r="A621" i="65"/>
  <c r="A623" i="65"/>
  <c r="A654" i="65"/>
  <c r="A800" i="65"/>
  <c r="A746" i="65"/>
  <c r="A750" i="65"/>
  <c r="A754" i="65"/>
  <c r="A779" i="65"/>
  <c r="A804" i="65"/>
  <c r="A611" i="65"/>
  <c r="A615" i="65"/>
  <c r="A646" i="65"/>
  <c r="A683" i="65"/>
  <c r="A748" i="65"/>
  <c r="A752" i="65"/>
  <c r="A792" i="65"/>
  <c r="A802" i="65"/>
  <c r="A810" i="65"/>
  <c r="A816" i="65"/>
  <c r="A642" i="65"/>
  <c r="A742" i="65"/>
  <c r="A767" i="65"/>
  <c r="A769" i="65"/>
  <c r="A775" i="65"/>
  <c r="A777" i="65"/>
  <c r="A783" i="65"/>
  <c r="A785" i="65"/>
  <c r="A796" i="65"/>
  <c r="A806" i="65"/>
  <c r="A814" i="65"/>
  <c r="C792" i="65"/>
  <c r="A630" i="65"/>
  <c r="A659" i="65"/>
  <c r="A612" i="65"/>
  <c r="A625" i="65"/>
  <c r="A638" i="65"/>
  <c r="A740" i="65"/>
  <c r="C796" i="65"/>
  <c r="C611" i="65"/>
  <c r="C769" i="65"/>
  <c r="C802" i="65"/>
  <c r="C806" i="65"/>
  <c r="A771" i="65"/>
  <c r="C742" i="65"/>
  <c r="C748" i="65"/>
  <c r="C752" i="65"/>
  <c r="C642" i="65"/>
  <c r="C683" i="65"/>
  <c r="A667" i="65"/>
  <c r="C638" i="65"/>
  <c r="A663" i="65"/>
  <c r="A671" i="65"/>
  <c r="A679" i="65"/>
  <c r="C785" i="65"/>
  <c r="A794" i="65"/>
  <c r="A798" i="65"/>
  <c r="A808" i="65"/>
  <c r="A812" i="65"/>
  <c r="A787" i="65"/>
  <c r="A744" i="65"/>
  <c r="A609" i="65"/>
  <c r="A613" i="65"/>
  <c r="A627" i="65"/>
  <c r="A631" i="65"/>
  <c r="C646" i="65"/>
  <c r="A675" i="65"/>
  <c r="A650" i="65"/>
  <c r="A610" i="65"/>
  <c r="A614" i="65"/>
  <c r="A616" i="65"/>
  <c r="A618" i="65"/>
  <c r="A622" i="65"/>
  <c r="A624" i="65"/>
  <c r="A626" i="65"/>
  <c r="A632" i="65"/>
  <c r="A643" i="65"/>
  <c r="A651" i="65"/>
  <c r="A653" i="65"/>
  <c r="A657" i="65"/>
  <c r="A687" i="65"/>
  <c r="A689" i="65"/>
  <c r="A695" i="65"/>
  <c r="A697" i="65"/>
  <c r="A703" i="65"/>
  <c r="A705" i="65"/>
  <c r="A711" i="65"/>
  <c r="A739" i="65"/>
  <c r="A741" i="65"/>
  <c r="A743" i="65"/>
  <c r="A745" i="65"/>
  <c r="A749" i="65"/>
  <c r="A751" i="65"/>
  <c r="A753" i="65"/>
  <c r="A757" i="65"/>
  <c r="A761" i="65"/>
  <c r="A763" i="65"/>
  <c r="C767" i="65"/>
  <c r="C775" i="65"/>
  <c r="C783" i="65"/>
  <c r="A765" i="65"/>
  <c r="A773" i="65"/>
  <c r="A781" i="65"/>
  <c r="A789" i="65"/>
  <c r="C749" i="65"/>
  <c r="C751" i="65"/>
  <c r="C753" i="65"/>
  <c r="A755" i="65"/>
  <c r="A759" i="65"/>
  <c r="C763" i="65"/>
  <c r="C689" i="65"/>
  <c r="C697" i="65"/>
  <c r="C705" i="65"/>
  <c r="C687" i="65"/>
  <c r="C695" i="65"/>
  <c r="C703" i="65"/>
  <c r="C711" i="65"/>
  <c r="C657" i="65"/>
  <c r="A649" i="65"/>
  <c r="C653" i="65"/>
  <c r="A637" i="65"/>
  <c r="A641" i="65"/>
  <c r="A645" i="65"/>
  <c r="A655" i="65"/>
  <c r="C614" i="65"/>
  <c r="C622" i="65"/>
  <c r="A634" i="65"/>
  <c r="C632" i="65"/>
  <c r="C610" i="65"/>
  <c r="C618" i="65"/>
  <c r="C626" i="65"/>
  <c r="A681" i="65"/>
  <c r="A665" i="65"/>
  <c r="A669" i="65"/>
  <c r="A677" i="65"/>
  <c r="A685" i="65"/>
  <c r="A661" i="65"/>
  <c r="A673" i="65"/>
  <c r="A629" i="65"/>
  <c r="A633" i="65"/>
  <c r="A662" i="65"/>
  <c r="C662" i="65"/>
  <c r="A670" i="65"/>
  <c r="C670" i="65"/>
  <c r="A678" i="65"/>
  <c r="C678" i="65"/>
  <c r="A686" i="65"/>
  <c r="C686" i="65"/>
  <c r="A694" i="65"/>
  <c r="C694" i="65"/>
  <c r="A702" i="65"/>
  <c r="C702" i="65"/>
  <c r="A710" i="65"/>
  <c r="C710" i="65"/>
  <c r="A664" i="65"/>
  <c r="C664" i="65"/>
  <c r="A672" i="65"/>
  <c r="C672" i="65"/>
  <c r="A680" i="65"/>
  <c r="C680" i="65"/>
  <c r="A688" i="65"/>
  <c r="C688" i="65"/>
  <c r="A696" i="65"/>
  <c r="C696" i="65"/>
  <c r="A704" i="65"/>
  <c r="C704" i="65"/>
  <c r="A712" i="65"/>
  <c r="C712" i="65"/>
  <c r="A756" i="65"/>
  <c r="A758" i="65"/>
  <c r="A760" i="65"/>
  <c r="A762" i="65"/>
  <c r="A764" i="65"/>
  <c r="A713" i="65"/>
  <c r="A715" i="65"/>
  <c r="A717" i="65"/>
  <c r="A719" i="65"/>
  <c r="A721" i="65"/>
  <c r="A723" i="65"/>
  <c r="A725" i="65"/>
  <c r="A727" i="65"/>
  <c r="A729" i="65"/>
  <c r="A731" i="65"/>
  <c r="A733" i="65"/>
  <c r="A735" i="65"/>
  <c r="A737" i="65"/>
  <c r="A658" i="65"/>
  <c r="C658" i="65"/>
  <c r="A666" i="65"/>
  <c r="C666" i="65"/>
  <c r="A674" i="65"/>
  <c r="C674" i="65"/>
  <c r="A682" i="65"/>
  <c r="C682" i="65"/>
  <c r="A690" i="65"/>
  <c r="C690" i="65"/>
  <c r="A698" i="65"/>
  <c r="C698" i="65"/>
  <c r="A706" i="65"/>
  <c r="C706" i="65"/>
  <c r="A636" i="65"/>
  <c r="A640" i="65"/>
  <c r="A644" i="65"/>
  <c r="A648" i="65"/>
  <c r="A652" i="65"/>
  <c r="A656" i="65"/>
  <c r="A660" i="65"/>
  <c r="C660" i="65"/>
  <c r="A668" i="65"/>
  <c r="C668" i="65"/>
  <c r="A676" i="65"/>
  <c r="C676" i="65"/>
  <c r="A684" i="65"/>
  <c r="C684" i="65"/>
  <c r="A692" i="65"/>
  <c r="C692" i="65"/>
  <c r="A700" i="65"/>
  <c r="C700" i="65"/>
  <c r="A708" i="65"/>
  <c r="C708" i="65"/>
  <c r="A716" i="65"/>
  <c r="A720" i="65"/>
  <c r="A726" i="65"/>
  <c r="A730" i="65"/>
  <c r="A736" i="65"/>
  <c r="A714" i="65"/>
  <c r="A718" i="65"/>
  <c r="A722" i="65"/>
  <c r="A724" i="65"/>
  <c r="A728" i="65"/>
  <c r="A732" i="65"/>
  <c r="A734" i="65"/>
  <c r="A738" i="65"/>
  <c r="C756" i="65"/>
  <c r="C758" i="65"/>
  <c r="C760" i="65"/>
  <c r="C762" i="65"/>
  <c r="C764" i="65"/>
  <c r="U6" i="68"/>
  <c r="O6" i="68"/>
  <c r="M5" i="68"/>
  <c r="A1" i="68"/>
  <c r="C918" i="65"/>
  <c r="C914" i="65"/>
  <c r="C910" i="65"/>
  <c r="C907" i="65"/>
  <c r="C906" i="65"/>
  <c r="C902" i="65"/>
  <c r="C901" i="65"/>
  <c r="C898" i="65"/>
  <c r="C897" i="65"/>
  <c r="C894" i="65"/>
  <c r="A893" i="65"/>
  <c r="C891" i="65"/>
  <c r="C890" i="65"/>
  <c r="C889" i="65"/>
  <c r="C888" i="65"/>
  <c r="C886" i="65"/>
  <c r="A885" i="65"/>
  <c r="C883" i="65"/>
  <c r="C882" i="65"/>
  <c r="C881" i="65"/>
  <c r="C880" i="65"/>
  <c r="C878" i="65"/>
  <c r="A877" i="65"/>
  <c r="C875" i="65"/>
  <c r="C874" i="65"/>
  <c r="C873" i="65"/>
  <c r="C872" i="65"/>
  <c r="C870" i="65"/>
  <c r="A869" i="65"/>
  <c r="A891" i="65"/>
  <c r="A887" i="65"/>
  <c r="A883" i="65"/>
  <c r="A879" i="65"/>
  <c r="A875" i="65"/>
  <c r="A871" i="65"/>
  <c r="C866" i="65"/>
  <c r="C865" i="65"/>
  <c r="C862" i="65"/>
  <c r="C858" i="65"/>
  <c r="C855" i="65"/>
  <c r="C854" i="65"/>
  <c r="C853" i="65"/>
  <c r="C850" i="65"/>
  <c r="C846" i="65"/>
  <c r="A868" i="65"/>
  <c r="A867" i="65"/>
  <c r="A864" i="65"/>
  <c r="A863" i="65"/>
  <c r="A860" i="65"/>
  <c r="A859" i="65"/>
  <c r="A856" i="65"/>
  <c r="A855" i="65"/>
  <c r="A852" i="65"/>
  <c r="A851" i="65"/>
  <c r="A848" i="65"/>
  <c r="A844" i="65"/>
  <c r="A843" i="65"/>
  <c r="C842" i="65"/>
  <c r="C840" i="65"/>
  <c r="C838" i="65"/>
  <c r="C836" i="65"/>
  <c r="C834" i="65"/>
  <c r="C833" i="65"/>
  <c r="C832" i="65"/>
  <c r="C831" i="65"/>
  <c r="C830" i="65"/>
  <c r="C828" i="65"/>
  <c r="C826" i="65"/>
  <c r="C825" i="65"/>
  <c r="C824" i="65"/>
  <c r="C823" i="65"/>
  <c r="C822" i="65"/>
  <c r="C820" i="65"/>
  <c r="C819" i="65"/>
  <c r="C818" i="65"/>
  <c r="C817" i="65"/>
  <c r="C839" i="65"/>
  <c r="C837" i="65"/>
  <c r="C835" i="65"/>
  <c r="C829" i="65"/>
  <c r="C827" i="65"/>
  <c r="C821" i="65"/>
  <c r="C868" i="65"/>
  <c r="C867" i="65"/>
  <c r="C864" i="65"/>
  <c r="C863" i="65"/>
  <c r="C860" i="65"/>
  <c r="C859" i="65"/>
  <c r="C856" i="65"/>
  <c r="C852" i="65"/>
  <c r="C851" i="65"/>
  <c r="C849" i="65"/>
  <c r="C848" i="65"/>
  <c r="C847" i="65"/>
  <c r="A847" i="65"/>
  <c r="C844" i="65"/>
  <c r="C843" i="65"/>
  <c r="C892" i="65"/>
  <c r="A890" i="65"/>
  <c r="A889" i="65"/>
  <c r="C884" i="65"/>
  <c r="A882" i="65"/>
  <c r="A881" i="65"/>
  <c r="C876" i="65"/>
  <c r="A874" i="65"/>
  <c r="C893" i="65"/>
  <c r="C887" i="65"/>
  <c r="C879" i="65"/>
  <c r="C877" i="65"/>
  <c r="C871" i="65"/>
  <c r="C920" i="65"/>
  <c r="C916" i="65"/>
  <c r="C912" i="65"/>
  <c r="C908" i="65"/>
  <c r="C903" i="65"/>
  <c r="C904" i="65"/>
  <c r="C905" i="65"/>
  <c r="C896" i="65"/>
  <c r="C899" i="65"/>
  <c r="C900" i="65"/>
  <c r="C845" i="65" l="1"/>
  <c r="A845" i="65"/>
  <c r="C857" i="65"/>
  <c r="A857" i="65"/>
  <c r="C861" i="65"/>
  <c r="A861" i="65"/>
  <c r="A873" i="65"/>
  <c r="C869" i="65"/>
  <c r="C885" i="65"/>
  <c r="A853" i="65"/>
  <c r="A849" i="65"/>
  <c r="A865" i="65"/>
  <c r="A817" i="65"/>
  <c r="A819" i="65"/>
  <c r="A821" i="65"/>
  <c r="A823" i="65"/>
  <c r="A825" i="65"/>
  <c r="A827" i="65"/>
  <c r="A829" i="65"/>
  <c r="A831" i="65"/>
  <c r="A833" i="65"/>
  <c r="A835" i="65"/>
  <c r="A837" i="65"/>
  <c r="A839" i="65"/>
  <c r="A841" i="65"/>
  <c r="A870" i="65"/>
  <c r="A878" i="65"/>
  <c r="A886" i="65"/>
  <c r="A894" i="65"/>
  <c r="A876" i="65"/>
  <c r="A884" i="65"/>
  <c r="A892" i="65"/>
  <c r="A872" i="65"/>
  <c r="A880" i="65"/>
  <c r="A888" i="65"/>
  <c r="A846" i="65"/>
  <c r="A850" i="65"/>
  <c r="A854" i="65"/>
  <c r="A858" i="65"/>
  <c r="A862" i="65"/>
  <c r="A866" i="65"/>
  <c r="C841" i="65"/>
  <c r="A818" i="65"/>
  <c r="A820" i="65"/>
  <c r="A822" i="65"/>
  <c r="A824" i="65"/>
  <c r="A826" i="65"/>
  <c r="A828" i="65"/>
  <c r="A830" i="65"/>
  <c r="A832" i="65"/>
  <c r="A834" i="65"/>
  <c r="A836" i="65"/>
  <c r="A838" i="65"/>
  <c r="A840" i="65"/>
  <c r="A842" i="65"/>
  <c r="A909" i="65"/>
  <c r="A913" i="65"/>
  <c r="A917" i="65"/>
  <c r="A907" i="65"/>
  <c r="A905" i="65"/>
  <c r="A903" i="65"/>
  <c r="A901" i="65"/>
  <c r="A911" i="65"/>
  <c r="A915" i="65"/>
  <c r="A919" i="65"/>
  <c r="C909" i="65"/>
  <c r="C911" i="65"/>
  <c r="C913" i="65"/>
  <c r="C915" i="65"/>
  <c r="C917" i="65"/>
  <c r="C919" i="65"/>
  <c r="A908" i="65"/>
  <c r="A910" i="65"/>
  <c r="A912" i="65"/>
  <c r="A914" i="65"/>
  <c r="A916" i="65"/>
  <c r="A918" i="65"/>
  <c r="A920" i="65"/>
  <c r="A906" i="65"/>
  <c r="A904" i="65"/>
  <c r="A902" i="65"/>
  <c r="A900" i="65"/>
  <c r="A899" i="65"/>
  <c r="A898" i="65"/>
  <c r="A896" i="65"/>
  <c r="A897" i="65"/>
  <c r="C895" i="65" l="1"/>
  <c r="A895" i="65" l="1"/>
  <c r="Z27" i="67" l="1"/>
  <c r="G31" i="1" l="1"/>
  <c r="D35" i="57" l="1"/>
  <c r="D31" i="57"/>
  <c r="D33" i="58"/>
  <c r="D29" i="58"/>
  <c r="D29" i="57"/>
  <c r="D35" i="58"/>
  <c r="D32" i="57"/>
  <c r="D30" i="58"/>
  <c r="D34" i="57"/>
  <c r="D30" i="57"/>
  <c r="D32" i="58"/>
  <c r="D33" i="57"/>
  <c r="D31" i="58"/>
  <c r="D34" i="58"/>
  <c r="F60" i="67" a="1"/>
  <c r="N60" i="67" s="1"/>
  <c r="E60" i="67"/>
  <c r="K60" i="67" l="1"/>
  <c r="G60" i="67"/>
  <c r="O60" i="67"/>
  <c r="H60" i="67"/>
  <c r="L60" i="67"/>
  <c r="P60" i="67"/>
  <c r="I60" i="67"/>
  <c r="M60" i="67"/>
  <c r="Q60" i="67"/>
  <c r="F60" i="67"/>
  <c r="J60" i="67"/>
  <c r="T13" i="58"/>
  <c r="T13" i="57"/>
  <c r="T13" i="59"/>
  <c r="T13" i="55"/>
  <c r="E10" i="66" l="1" a="1"/>
  <c r="E10" i="66" s="1"/>
  <c r="E13" i="66" l="1"/>
  <c r="E12" i="66"/>
  <c r="E11" i="66"/>
  <c r="E15" i="66" s="1"/>
  <c r="E14" i="66"/>
  <c r="U6" i="67" l="1"/>
  <c r="E56" i="67" a="1"/>
  <c r="E59" i="67" s="1"/>
  <c r="E52" i="67" a="1"/>
  <c r="E55" i="67" s="1"/>
  <c r="E48" i="67" a="1"/>
  <c r="E50" i="67" s="1"/>
  <c r="E43" i="67"/>
  <c r="F43" i="67" a="1"/>
  <c r="F43" i="67" s="1"/>
  <c r="E44" i="67" a="1"/>
  <c r="E44" i="67" s="1"/>
  <c r="O7" i="67"/>
  <c r="O6" i="67"/>
  <c r="M5" i="67"/>
  <c r="A1" i="67"/>
  <c r="M5" i="66"/>
  <c r="U6" i="66"/>
  <c r="O6" i="66"/>
  <c r="O7" i="66"/>
  <c r="A1" i="66"/>
  <c r="M43" i="67" l="1"/>
  <c r="I43" i="67"/>
  <c r="Q43" i="67"/>
  <c r="E52" i="67"/>
  <c r="E54" i="67"/>
  <c r="E53" i="67"/>
  <c r="E47" i="67"/>
  <c r="E56" i="67"/>
  <c r="E57" i="67"/>
  <c r="E58" i="67"/>
  <c r="E49" i="67"/>
  <c r="E51" i="67"/>
  <c r="E48" i="67"/>
  <c r="P43" i="67"/>
  <c r="L43" i="67"/>
  <c r="H43" i="67"/>
  <c r="O43" i="67"/>
  <c r="K43" i="67"/>
  <c r="G43" i="67"/>
  <c r="N43" i="67"/>
  <c r="J43" i="67"/>
  <c r="E46" i="67"/>
  <c r="E45" i="67"/>
  <c r="E34" i="63"/>
  <c r="J4" i="1"/>
  <c r="E7" i="73" s="1"/>
  <c r="J3" i="1"/>
  <c r="E6" i="73" s="1"/>
  <c r="E6" i="71" l="1"/>
  <c r="E6" i="72"/>
  <c r="E7" i="71"/>
  <c r="E7" i="72"/>
  <c r="E7" i="68"/>
  <c r="E7" i="69"/>
  <c r="E6" i="68"/>
  <c r="E6" i="69"/>
  <c r="E6" i="66"/>
  <c r="E6" i="67"/>
  <c r="E7" i="66"/>
  <c r="E7" i="67"/>
  <c r="U6" i="63"/>
  <c r="U6" i="61"/>
  <c r="U6" i="55"/>
  <c r="E33" i="63"/>
  <c r="E23" i="61" l="1"/>
  <c r="E14" i="59" l="1"/>
  <c r="E13" i="59"/>
  <c r="E14" i="57"/>
  <c r="E13" i="57"/>
  <c r="E14" i="58"/>
  <c r="E13" i="58"/>
  <c r="E14" i="55"/>
  <c r="E13" i="55"/>
  <c r="P7" i="55"/>
  <c r="O7" i="63"/>
  <c r="G18" i="1"/>
  <c r="C607" i="65" l="1"/>
  <c r="C606" i="65"/>
  <c r="C605" i="65"/>
  <c r="C604" i="65"/>
  <c r="C603" i="65"/>
  <c r="C602" i="65"/>
  <c r="C601" i="65"/>
  <c r="C600" i="65"/>
  <c r="C599" i="65"/>
  <c r="C598" i="65"/>
  <c r="C597" i="65"/>
  <c r="C596" i="65"/>
  <c r="C595" i="65"/>
  <c r="C594" i="65"/>
  <c r="C593" i="65"/>
  <c r="C592" i="65"/>
  <c r="C591" i="65"/>
  <c r="C590" i="65"/>
  <c r="C589" i="65"/>
  <c r="C588" i="65"/>
  <c r="C587" i="65"/>
  <c r="C586" i="65"/>
  <c r="C585" i="65"/>
  <c r="C584" i="65"/>
  <c r="C583" i="65"/>
  <c r="C582" i="65"/>
  <c r="C581" i="65"/>
  <c r="C580" i="65"/>
  <c r="C579" i="65"/>
  <c r="C578" i="65"/>
  <c r="C577" i="65"/>
  <c r="C576" i="65"/>
  <c r="C575" i="65"/>
  <c r="C574" i="65"/>
  <c r="C573" i="65"/>
  <c r="C572" i="65"/>
  <c r="C571" i="65"/>
  <c r="C570" i="65"/>
  <c r="C569" i="65"/>
  <c r="C568" i="65"/>
  <c r="C567" i="65"/>
  <c r="C566" i="65"/>
  <c r="C565" i="65"/>
  <c r="C564" i="65"/>
  <c r="C563" i="65"/>
  <c r="C562" i="65"/>
  <c r="C561" i="65"/>
  <c r="C560" i="65"/>
  <c r="C559" i="65"/>
  <c r="C558" i="65"/>
  <c r="C557" i="65"/>
  <c r="C556" i="65"/>
  <c r="C555" i="65"/>
  <c r="C554" i="65"/>
  <c r="C553" i="65"/>
  <c r="C552" i="65"/>
  <c r="C551" i="65"/>
  <c r="C550" i="65"/>
  <c r="C549" i="65"/>
  <c r="C548" i="65"/>
  <c r="C547" i="65"/>
  <c r="C546" i="65"/>
  <c r="C545" i="65"/>
  <c r="C544" i="65"/>
  <c r="C543" i="65"/>
  <c r="C542" i="65"/>
  <c r="C541" i="65"/>
  <c r="C540" i="65"/>
  <c r="C539" i="65"/>
  <c r="C538" i="65"/>
  <c r="C537" i="65"/>
  <c r="C536" i="65"/>
  <c r="A536" i="65"/>
  <c r="C535" i="65"/>
  <c r="C534" i="65"/>
  <c r="C533" i="65"/>
  <c r="C532" i="65"/>
  <c r="C531" i="65"/>
  <c r="C530" i="65"/>
  <c r="C529" i="65"/>
  <c r="A529" i="65"/>
  <c r="C528" i="65"/>
  <c r="C527" i="65"/>
  <c r="C526" i="65"/>
  <c r="C525" i="65"/>
  <c r="C524" i="65"/>
  <c r="C523" i="65"/>
  <c r="C522" i="65"/>
  <c r="C521" i="65"/>
  <c r="C520" i="65"/>
  <c r="C519" i="65"/>
  <c r="C518" i="65"/>
  <c r="C517" i="65"/>
  <c r="C516" i="65"/>
  <c r="C515" i="65"/>
  <c r="C514" i="65"/>
  <c r="A514" i="65"/>
  <c r="C513" i="65"/>
  <c r="C512" i="65"/>
  <c r="C511" i="65"/>
  <c r="C510" i="65"/>
  <c r="C509" i="65"/>
  <c r="A509" i="65"/>
  <c r="C508" i="65"/>
  <c r="C507" i="65"/>
  <c r="C506" i="65"/>
  <c r="A506" i="65"/>
  <c r="C505" i="65"/>
  <c r="A505" i="65"/>
  <c r="C504" i="65"/>
  <c r="A504" i="65"/>
  <c r="C503" i="65"/>
  <c r="C502" i="65"/>
  <c r="A502" i="65"/>
  <c r="C501" i="65"/>
  <c r="C500" i="65"/>
  <c r="A500" i="65"/>
  <c r="C499" i="65"/>
  <c r="C498" i="65"/>
  <c r="A498" i="65"/>
  <c r="C497" i="65"/>
  <c r="C496" i="65"/>
  <c r="A496" i="65"/>
  <c r="C495" i="65"/>
  <c r="C494" i="65"/>
  <c r="A494" i="65"/>
  <c r="C493" i="65"/>
  <c r="C492" i="65"/>
  <c r="A492" i="65"/>
  <c r="C491" i="65"/>
  <c r="C490" i="65"/>
  <c r="A490" i="65"/>
  <c r="C489" i="65"/>
  <c r="C488" i="65"/>
  <c r="A488" i="65"/>
  <c r="C487" i="65"/>
  <c r="C486" i="65"/>
  <c r="A486" i="65"/>
  <c r="C485" i="65"/>
  <c r="C484" i="65"/>
  <c r="A484" i="65"/>
  <c r="C483" i="65"/>
  <c r="C482" i="65"/>
  <c r="A482" i="65"/>
  <c r="C481" i="65"/>
  <c r="C480" i="65"/>
  <c r="A480" i="65"/>
  <c r="C479" i="65"/>
  <c r="C478" i="65"/>
  <c r="A478" i="65"/>
  <c r="C477" i="65"/>
  <c r="C476" i="65"/>
  <c r="A476" i="65"/>
  <c r="C475" i="65"/>
  <c r="C474" i="65"/>
  <c r="A474" i="65"/>
  <c r="C473" i="65"/>
  <c r="C472" i="65"/>
  <c r="A472" i="65"/>
  <c r="C471" i="65"/>
  <c r="C470" i="65"/>
  <c r="A470" i="65"/>
  <c r="C469" i="65"/>
  <c r="C468" i="65"/>
  <c r="A468" i="65"/>
  <c r="C467" i="65"/>
  <c r="C466" i="65"/>
  <c r="A466" i="65"/>
  <c r="C465" i="65"/>
  <c r="C464" i="65"/>
  <c r="A464" i="65"/>
  <c r="C463" i="65"/>
  <c r="C462" i="65"/>
  <c r="A462" i="65"/>
  <c r="C461" i="65"/>
  <c r="C460" i="65"/>
  <c r="A460" i="65"/>
  <c r="C459" i="65"/>
  <c r="C458" i="65"/>
  <c r="A458" i="65"/>
  <c r="C457" i="65"/>
  <c r="C456" i="65"/>
  <c r="A456" i="65"/>
  <c r="C455" i="65"/>
  <c r="C454" i="65"/>
  <c r="A454" i="65"/>
  <c r="C453" i="65"/>
  <c r="C452" i="65"/>
  <c r="A452" i="65"/>
  <c r="C451" i="65"/>
  <c r="C450" i="65"/>
  <c r="A450" i="65"/>
  <c r="C449" i="65"/>
  <c r="C448" i="65"/>
  <c r="A448" i="65"/>
  <c r="C447" i="65"/>
  <c r="C446" i="65"/>
  <c r="A446" i="65"/>
  <c r="C445" i="65"/>
  <c r="C444" i="65"/>
  <c r="A444" i="65"/>
  <c r="C443" i="65"/>
  <c r="C442" i="65"/>
  <c r="A442" i="65"/>
  <c r="C441" i="65"/>
  <c r="C440" i="65"/>
  <c r="A440" i="65"/>
  <c r="C439" i="65"/>
  <c r="C438" i="65"/>
  <c r="A438" i="65"/>
  <c r="C437" i="65"/>
  <c r="A437" i="65"/>
  <c r="C434" i="65"/>
  <c r="C433" i="65"/>
  <c r="C432" i="65"/>
  <c r="A432" i="65"/>
  <c r="C431" i="65"/>
  <c r="A431" i="65"/>
  <c r="C430" i="65"/>
  <c r="C429" i="65"/>
  <c r="A429" i="65"/>
  <c r="C428" i="65"/>
  <c r="A428" i="65"/>
  <c r="C427" i="65"/>
  <c r="A427" i="65"/>
  <c r="C426" i="65"/>
  <c r="A426" i="65"/>
  <c r="C425" i="65"/>
  <c r="C424" i="65"/>
  <c r="A424" i="65"/>
  <c r="C423" i="65"/>
  <c r="A423" i="65"/>
  <c r="C422" i="65"/>
  <c r="A422" i="65"/>
  <c r="C421" i="65"/>
  <c r="A421" i="65"/>
  <c r="C418" i="65"/>
  <c r="C417" i="65"/>
  <c r="C416" i="65"/>
  <c r="A416" i="65"/>
  <c r="C415" i="65"/>
  <c r="A415" i="65"/>
  <c r="C414" i="65"/>
  <c r="C413" i="65"/>
  <c r="A413" i="65"/>
  <c r="C412" i="65"/>
  <c r="A412" i="65"/>
  <c r="C411" i="65"/>
  <c r="A411" i="65"/>
  <c r="C410" i="65"/>
  <c r="A410" i="65"/>
  <c r="C409" i="65"/>
  <c r="C408" i="65"/>
  <c r="A408" i="65"/>
  <c r="C407" i="65"/>
  <c r="A407" i="65"/>
  <c r="C406" i="65"/>
  <c r="A406" i="65"/>
  <c r="C405" i="65"/>
  <c r="A405" i="65"/>
  <c r="C402" i="65"/>
  <c r="C401" i="65"/>
  <c r="C400" i="65"/>
  <c r="A400" i="65"/>
  <c r="C399" i="65"/>
  <c r="A399" i="65"/>
  <c r="C398" i="65"/>
  <c r="C397" i="65"/>
  <c r="A397" i="65"/>
  <c r="C396" i="65"/>
  <c r="A396" i="65"/>
  <c r="C395" i="65"/>
  <c r="A395" i="65"/>
  <c r="C394" i="65"/>
  <c r="A394" i="65"/>
  <c r="C393" i="65"/>
  <c r="C392" i="65"/>
  <c r="A392" i="65"/>
  <c r="C391" i="65"/>
  <c r="A391" i="65"/>
  <c r="C390" i="65"/>
  <c r="A390" i="65"/>
  <c r="C389" i="65"/>
  <c r="A389" i="65"/>
  <c r="C386" i="65"/>
  <c r="C385" i="65"/>
  <c r="C384" i="65"/>
  <c r="A384" i="65"/>
  <c r="C383" i="65"/>
  <c r="A383" i="65"/>
  <c r="C382" i="65"/>
  <c r="C381" i="65"/>
  <c r="A381" i="65"/>
  <c r="C380" i="65"/>
  <c r="A380" i="65"/>
  <c r="C379" i="65"/>
  <c r="A379" i="65"/>
  <c r="C378" i="65"/>
  <c r="A378" i="65"/>
  <c r="C377" i="65"/>
  <c r="C376" i="65"/>
  <c r="A376" i="65"/>
  <c r="C375" i="65"/>
  <c r="A375" i="65"/>
  <c r="C374" i="65"/>
  <c r="A374" i="65"/>
  <c r="C373" i="65"/>
  <c r="A373" i="65"/>
  <c r="C370" i="65"/>
  <c r="C369" i="65"/>
  <c r="C368" i="65"/>
  <c r="A368" i="65"/>
  <c r="C367" i="65"/>
  <c r="A367" i="65"/>
  <c r="C366" i="65"/>
  <c r="C365" i="65"/>
  <c r="A365" i="65"/>
  <c r="C364" i="65"/>
  <c r="A364" i="65"/>
  <c r="C363" i="65"/>
  <c r="A363" i="65"/>
  <c r="C362" i="65"/>
  <c r="A362" i="65"/>
  <c r="C361" i="65"/>
  <c r="C360" i="65"/>
  <c r="A360" i="65"/>
  <c r="C359" i="65"/>
  <c r="A359" i="65"/>
  <c r="C358" i="65"/>
  <c r="A358" i="65"/>
  <c r="C357" i="65"/>
  <c r="A357" i="65"/>
  <c r="C355" i="65"/>
  <c r="A355" i="65"/>
  <c r="C354" i="65"/>
  <c r="A354" i="65"/>
  <c r="C353" i="65"/>
  <c r="C352" i="65"/>
  <c r="A352" i="65"/>
  <c r="C351" i="65"/>
  <c r="A351" i="65"/>
  <c r="C350" i="65"/>
  <c r="C349" i="65"/>
  <c r="A349" i="65"/>
  <c r="C348" i="65"/>
  <c r="A348" i="65"/>
  <c r="C347" i="65"/>
  <c r="A347" i="65"/>
  <c r="C346" i="65"/>
  <c r="A346" i="65"/>
  <c r="C345" i="65"/>
  <c r="C344" i="65"/>
  <c r="A344" i="65"/>
  <c r="C343" i="65"/>
  <c r="A343" i="65"/>
  <c r="C342" i="65"/>
  <c r="A342" i="65"/>
  <c r="C341" i="65"/>
  <c r="A341" i="65"/>
  <c r="C340" i="65"/>
  <c r="C339" i="65"/>
  <c r="C338" i="65"/>
  <c r="C337" i="65"/>
  <c r="C336" i="65"/>
  <c r="A336" i="65"/>
  <c r="C335" i="65"/>
  <c r="A335" i="65"/>
  <c r="C334" i="65"/>
  <c r="C333" i="65"/>
  <c r="A333" i="65"/>
  <c r="C332" i="65"/>
  <c r="C331" i="65"/>
  <c r="C330" i="65"/>
  <c r="A330" i="65"/>
  <c r="C329" i="65"/>
  <c r="C328" i="65"/>
  <c r="A328" i="65"/>
  <c r="C326" i="65"/>
  <c r="A326" i="65"/>
  <c r="C325" i="65"/>
  <c r="A325" i="65"/>
  <c r="C324" i="65"/>
  <c r="A324" i="65"/>
  <c r="C323" i="65"/>
  <c r="A323" i="65"/>
  <c r="C322" i="65"/>
  <c r="C321" i="65"/>
  <c r="C320" i="65"/>
  <c r="A320" i="65"/>
  <c r="C318" i="65"/>
  <c r="C317" i="65"/>
  <c r="C316" i="65"/>
  <c r="A316" i="65"/>
  <c r="C315" i="65"/>
  <c r="C314" i="65"/>
  <c r="C313" i="65"/>
  <c r="C312" i="65"/>
  <c r="A312" i="65"/>
  <c r="C310" i="65"/>
  <c r="C309" i="65"/>
  <c r="A309" i="65"/>
  <c r="C308" i="65"/>
  <c r="A308" i="65"/>
  <c r="C307" i="65"/>
  <c r="A307" i="65"/>
  <c r="C306" i="65"/>
  <c r="A306" i="65"/>
  <c r="C305" i="65"/>
  <c r="C304" i="65"/>
  <c r="A304" i="65"/>
  <c r="C302" i="65"/>
  <c r="A302" i="65"/>
  <c r="C301" i="65"/>
  <c r="A301" i="65"/>
  <c r="C300" i="65"/>
  <c r="A300" i="65"/>
  <c r="C299" i="65"/>
  <c r="A299" i="65"/>
  <c r="C298" i="65"/>
  <c r="A298" i="65"/>
  <c r="C297" i="65"/>
  <c r="C296" i="65"/>
  <c r="A296" i="65"/>
  <c r="C294" i="65"/>
  <c r="C293" i="65"/>
  <c r="C292" i="65"/>
  <c r="C291" i="65"/>
  <c r="C290" i="65"/>
  <c r="C289" i="65"/>
  <c r="A288" i="65"/>
  <c r="C288" i="65"/>
  <c r="C286" i="65"/>
  <c r="C285" i="65"/>
  <c r="A284" i="65"/>
  <c r="C284" i="65"/>
  <c r="C283" i="65"/>
  <c r="C282" i="65"/>
  <c r="C281" i="65"/>
  <c r="C280" i="65"/>
  <c r="C278" i="65"/>
  <c r="C277" i="65"/>
  <c r="C276" i="65"/>
  <c r="C275" i="65"/>
  <c r="A275" i="65"/>
  <c r="C274" i="65"/>
  <c r="A274" i="65"/>
  <c r="C273" i="65"/>
  <c r="C272" i="65"/>
  <c r="A272" i="65"/>
  <c r="C270" i="65"/>
  <c r="A270" i="65"/>
  <c r="C269" i="65"/>
  <c r="A269" i="65"/>
  <c r="C268" i="65"/>
  <c r="A268" i="65"/>
  <c r="C267" i="65"/>
  <c r="A267" i="65"/>
  <c r="C266" i="65"/>
  <c r="A266" i="65"/>
  <c r="C265" i="65"/>
  <c r="A265" i="65"/>
  <c r="C264" i="65"/>
  <c r="A264" i="65"/>
  <c r="C263" i="65"/>
  <c r="A263" i="65"/>
  <c r="C262" i="65"/>
  <c r="A262" i="65"/>
  <c r="C261" i="65"/>
  <c r="A261" i="65"/>
  <c r="C260" i="65"/>
  <c r="A260" i="65"/>
  <c r="C259" i="65"/>
  <c r="A259" i="65"/>
  <c r="C258" i="65"/>
  <c r="A258" i="65"/>
  <c r="C257" i="65"/>
  <c r="A257" i="65"/>
  <c r="C256" i="65"/>
  <c r="A256" i="65"/>
  <c r="C255" i="65"/>
  <c r="A255" i="65"/>
  <c r="C254" i="65"/>
  <c r="A254" i="65"/>
  <c r="C253" i="65"/>
  <c r="A253" i="65"/>
  <c r="C252" i="65"/>
  <c r="A252" i="65"/>
  <c r="C251" i="65"/>
  <c r="A251" i="65"/>
  <c r="C250" i="65"/>
  <c r="A250" i="65"/>
  <c r="C249" i="65"/>
  <c r="A249" i="65"/>
  <c r="C248" i="65"/>
  <c r="A248" i="65"/>
  <c r="C247" i="65"/>
  <c r="A247" i="65"/>
  <c r="C246" i="65"/>
  <c r="A246" i="65"/>
  <c r="C245" i="65"/>
  <c r="A245" i="65"/>
  <c r="C244" i="65"/>
  <c r="A244" i="65"/>
  <c r="C243" i="65"/>
  <c r="A243" i="65"/>
  <c r="C242" i="65"/>
  <c r="A242" i="65"/>
  <c r="C241" i="65"/>
  <c r="A241" i="65"/>
  <c r="C240" i="65"/>
  <c r="A240" i="65"/>
  <c r="C239" i="65"/>
  <c r="A239" i="65"/>
  <c r="C238" i="65"/>
  <c r="A238" i="65"/>
  <c r="C237" i="65"/>
  <c r="A237" i="65"/>
  <c r="C236" i="65"/>
  <c r="A236" i="65"/>
  <c r="C235" i="65"/>
  <c r="A235" i="65"/>
  <c r="C234" i="65"/>
  <c r="A234" i="65"/>
  <c r="C233" i="65"/>
  <c r="A233" i="65"/>
  <c r="C232" i="65"/>
  <c r="A232" i="65"/>
  <c r="C231" i="65"/>
  <c r="A231" i="65"/>
  <c r="C230" i="65"/>
  <c r="A230" i="65"/>
  <c r="C229" i="65"/>
  <c r="A229" i="65"/>
  <c r="C228" i="65"/>
  <c r="A228" i="65"/>
  <c r="C227" i="65"/>
  <c r="A227" i="65"/>
  <c r="C226" i="65"/>
  <c r="A226" i="65"/>
  <c r="C225" i="65"/>
  <c r="A225" i="65"/>
  <c r="C224" i="65"/>
  <c r="A224" i="65"/>
  <c r="C223" i="65"/>
  <c r="A223" i="65"/>
  <c r="C222" i="65"/>
  <c r="A222" i="65"/>
  <c r="C221" i="65"/>
  <c r="A221" i="65"/>
  <c r="C220" i="65"/>
  <c r="A220" i="65"/>
  <c r="C219" i="65"/>
  <c r="A219" i="65"/>
  <c r="C218" i="65"/>
  <c r="A218" i="65"/>
  <c r="C217" i="65"/>
  <c r="A217" i="65"/>
  <c r="C216" i="65"/>
  <c r="A216" i="65"/>
  <c r="C215" i="65"/>
  <c r="A215" i="65"/>
  <c r="C214" i="65"/>
  <c r="A214" i="65"/>
  <c r="C213" i="65"/>
  <c r="A213" i="65"/>
  <c r="C212" i="65"/>
  <c r="A212" i="65"/>
  <c r="C211" i="65"/>
  <c r="A211" i="65"/>
  <c r="C210" i="65"/>
  <c r="A210" i="65"/>
  <c r="C209" i="65"/>
  <c r="A209" i="65"/>
  <c r="C208" i="65"/>
  <c r="A208" i="65"/>
  <c r="C207" i="65"/>
  <c r="A207" i="65"/>
  <c r="C206" i="65"/>
  <c r="A206" i="65"/>
  <c r="C205" i="65"/>
  <c r="A205" i="65"/>
  <c r="C204" i="65"/>
  <c r="A204" i="65"/>
  <c r="C203" i="65"/>
  <c r="A203" i="65"/>
  <c r="C202" i="65"/>
  <c r="A202" i="65"/>
  <c r="C201" i="65"/>
  <c r="A201" i="65"/>
  <c r="C200" i="65"/>
  <c r="A200" i="65"/>
  <c r="C199" i="65"/>
  <c r="A199" i="65"/>
  <c r="C198" i="65"/>
  <c r="A198" i="65"/>
  <c r="C197" i="65"/>
  <c r="A197" i="65"/>
  <c r="C196" i="65"/>
  <c r="A196" i="65"/>
  <c r="C195" i="65"/>
  <c r="A195" i="65"/>
  <c r="C194" i="65"/>
  <c r="A194" i="65"/>
  <c r="C193" i="65"/>
  <c r="A193" i="65"/>
  <c r="C192" i="65"/>
  <c r="A192" i="65"/>
  <c r="C191" i="65"/>
  <c r="A191" i="65"/>
  <c r="C190" i="65"/>
  <c r="A190" i="65"/>
  <c r="C189" i="65"/>
  <c r="A189" i="65"/>
  <c r="C188" i="65"/>
  <c r="A188" i="65"/>
  <c r="C187" i="65"/>
  <c r="A187" i="65"/>
  <c r="C186" i="65"/>
  <c r="A186" i="65"/>
  <c r="C185" i="65"/>
  <c r="A185" i="65"/>
  <c r="C184" i="65"/>
  <c r="A184" i="65"/>
  <c r="C183" i="65"/>
  <c r="A183" i="65"/>
  <c r="C182" i="65"/>
  <c r="A182" i="65"/>
  <c r="C181" i="65"/>
  <c r="A181" i="65"/>
  <c r="C180" i="65"/>
  <c r="A180" i="65"/>
  <c r="C179" i="65"/>
  <c r="C178" i="65"/>
  <c r="C177" i="65"/>
  <c r="A177" i="65"/>
  <c r="C176" i="65"/>
  <c r="A176" i="65"/>
  <c r="C175" i="65"/>
  <c r="A175" i="65"/>
  <c r="C174" i="65"/>
  <c r="A174" i="65"/>
  <c r="C173" i="65"/>
  <c r="A173" i="65"/>
  <c r="C172" i="65"/>
  <c r="A172" i="65"/>
  <c r="C171" i="65"/>
  <c r="C170" i="65"/>
  <c r="C169" i="65"/>
  <c r="A169" i="65"/>
  <c r="C168" i="65"/>
  <c r="C167" i="65"/>
  <c r="A167" i="65"/>
  <c r="C166" i="65"/>
  <c r="C165" i="65"/>
  <c r="C164" i="65"/>
  <c r="C163" i="65"/>
  <c r="A162" i="65"/>
  <c r="C161" i="65"/>
  <c r="A160" i="65"/>
  <c r="C160" i="65"/>
  <c r="C159" i="65"/>
  <c r="C158" i="65"/>
  <c r="A158" i="65"/>
  <c r="C157" i="65"/>
  <c r="A157" i="65"/>
  <c r="C156" i="65"/>
  <c r="C155" i="65"/>
  <c r="A154" i="65"/>
  <c r="C154" i="65"/>
  <c r="C153" i="65"/>
  <c r="A153" i="65"/>
  <c r="C152" i="65"/>
  <c r="A152" i="65"/>
  <c r="C151" i="65"/>
  <c r="A151" i="65"/>
  <c r="C150" i="65"/>
  <c r="A150" i="65"/>
  <c r="C149" i="65"/>
  <c r="A149" i="65"/>
  <c r="C148" i="65"/>
  <c r="A148" i="65"/>
  <c r="C147" i="65"/>
  <c r="C146" i="65"/>
  <c r="C145" i="65"/>
  <c r="A145" i="65"/>
  <c r="C144" i="65"/>
  <c r="A144" i="65"/>
  <c r="C143" i="65"/>
  <c r="A143" i="65"/>
  <c r="C142" i="65"/>
  <c r="A142" i="65"/>
  <c r="C141" i="65"/>
  <c r="A141" i="65"/>
  <c r="C140" i="65"/>
  <c r="A140" i="65"/>
  <c r="C139" i="65"/>
  <c r="C138" i="65"/>
  <c r="C137" i="65"/>
  <c r="A137" i="65"/>
  <c r="C136" i="65"/>
  <c r="C135" i="65"/>
  <c r="A135" i="65"/>
  <c r="C134" i="65"/>
  <c r="C133" i="65"/>
  <c r="C132" i="65"/>
  <c r="C131" i="65"/>
  <c r="C130" i="65"/>
  <c r="A129" i="65"/>
  <c r="C128" i="65"/>
  <c r="A128" i="65"/>
  <c r="C127" i="65"/>
  <c r="C126" i="65"/>
  <c r="C124" i="65"/>
  <c r="A124" i="65"/>
  <c r="C123" i="65"/>
  <c r="A123" i="65"/>
  <c r="C122" i="65"/>
  <c r="A122" i="65"/>
  <c r="C120" i="65"/>
  <c r="A120" i="65"/>
  <c r="C119" i="65"/>
  <c r="A119" i="65"/>
  <c r="C118" i="65"/>
  <c r="A118" i="65"/>
  <c r="C116" i="65"/>
  <c r="C115" i="65"/>
  <c r="C114" i="65"/>
  <c r="A113" i="65"/>
  <c r="C112" i="65"/>
  <c r="A112" i="65"/>
  <c r="C111" i="65"/>
  <c r="C110" i="65"/>
  <c r="C108" i="65"/>
  <c r="A108" i="65"/>
  <c r="C107" i="65"/>
  <c r="A107" i="65"/>
  <c r="C106" i="65"/>
  <c r="A106" i="65"/>
  <c r="C104" i="65"/>
  <c r="A104" i="65"/>
  <c r="C103" i="65"/>
  <c r="A103" i="65"/>
  <c r="C102" i="65"/>
  <c r="A102" i="65"/>
  <c r="C100" i="65"/>
  <c r="C99" i="65"/>
  <c r="C98" i="65"/>
  <c r="A97" i="65"/>
  <c r="C96" i="65"/>
  <c r="A96" i="65"/>
  <c r="C95" i="65"/>
  <c r="C94" i="65"/>
  <c r="C92" i="65"/>
  <c r="A92" i="65"/>
  <c r="C91" i="65"/>
  <c r="A91" i="65"/>
  <c r="C90" i="65"/>
  <c r="A90" i="65"/>
  <c r="C88" i="65"/>
  <c r="A88" i="65"/>
  <c r="C87" i="65"/>
  <c r="A87" i="65"/>
  <c r="C86" i="65"/>
  <c r="A86" i="65"/>
  <c r="C84" i="65"/>
  <c r="C83" i="65"/>
  <c r="C82" i="65"/>
  <c r="A81" i="65"/>
  <c r="C80" i="65"/>
  <c r="A80" i="65"/>
  <c r="C79" i="65"/>
  <c r="C78" i="65"/>
  <c r="C76" i="65"/>
  <c r="A76" i="65"/>
  <c r="C75" i="65"/>
  <c r="A75" i="65"/>
  <c r="C74" i="65"/>
  <c r="A74" i="65"/>
  <c r="C72" i="65"/>
  <c r="A72" i="65"/>
  <c r="C71" i="65"/>
  <c r="A71" i="65"/>
  <c r="C70" i="65"/>
  <c r="A70" i="65"/>
  <c r="C68" i="65"/>
  <c r="C67" i="65"/>
  <c r="C66" i="65"/>
  <c r="A65" i="65"/>
  <c r="C64" i="65"/>
  <c r="A64" i="65"/>
  <c r="C63" i="65"/>
  <c r="C62" i="65"/>
  <c r="C60" i="65"/>
  <c r="A60" i="65"/>
  <c r="C59" i="65"/>
  <c r="A59" i="65"/>
  <c r="C58" i="65"/>
  <c r="A58" i="65"/>
  <c r="C56" i="65"/>
  <c r="A56" i="65"/>
  <c r="C55" i="65"/>
  <c r="A55" i="65"/>
  <c r="C54" i="65"/>
  <c r="A54" i="65"/>
  <c r="C52" i="65"/>
  <c r="C51" i="65"/>
  <c r="C50" i="65"/>
  <c r="A49" i="65"/>
  <c r="C48" i="65"/>
  <c r="A48" i="65"/>
  <c r="C47" i="65"/>
  <c r="C46" i="65"/>
  <c r="C45" i="65"/>
  <c r="C44" i="65"/>
  <c r="A44" i="65"/>
  <c r="C43" i="65"/>
  <c r="A43" i="65"/>
  <c r="C42" i="65"/>
  <c r="A42" i="65"/>
  <c r="C40" i="65"/>
  <c r="A40" i="65"/>
  <c r="C39" i="65"/>
  <c r="A39" i="65"/>
  <c r="C38" i="65"/>
  <c r="A38" i="65"/>
  <c r="C36" i="65"/>
  <c r="C35" i="65"/>
  <c r="C34" i="65"/>
  <c r="A33" i="65"/>
  <c r="C32" i="65"/>
  <c r="A32" i="65"/>
  <c r="C31" i="65"/>
  <c r="C30" i="65"/>
  <c r="C28" i="65"/>
  <c r="A28" i="65"/>
  <c r="C27" i="65"/>
  <c r="A27" i="65"/>
  <c r="C26" i="65"/>
  <c r="A26" i="65"/>
  <c r="C25" i="65"/>
  <c r="C24" i="65"/>
  <c r="A24" i="65"/>
  <c r="C23" i="65"/>
  <c r="A23" i="65"/>
  <c r="C22" i="65"/>
  <c r="A22" i="65"/>
  <c r="C20" i="65"/>
  <c r="C19" i="65"/>
  <c r="C18" i="65"/>
  <c r="A17" i="65"/>
  <c r="C16" i="65"/>
  <c r="A16" i="65"/>
  <c r="C15" i="65"/>
  <c r="C14" i="65"/>
  <c r="C12" i="65"/>
  <c r="A12" i="65"/>
  <c r="C11" i="65"/>
  <c r="A11" i="65"/>
  <c r="C10" i="65"/>
  <c r="A10" i="65"/>
  <c r="D3" i="65"/>
  <c r="D2" i="65"/>
  <c r="D1" i="65"/>
  <c r="F21" i="72" l="1" a="1"/>
  <c r="A521" i="65"/>
  <c r="A530" i="65"/>
  <c r="A513" i="65"/>
  <c r="A520" i="65"/>
  <c r="A525" i="65"/>
  <c r="A512" i="65"/>
  <c r="A517" i="65"/>
  <c r="A522" i="65"/>
  <c r="A528" i="65"/>
  <c r="A608" i="65"/>
  <c r="A77" i="65"/>
  <c r="A93" i="65"/>
  <c r="A109" i="65"/>
  <c r="A125" i="65"/>
  <c r="A136" i="65"/>
  <c r="A168" i="65"/>
  <c r="A276" i="65"/>
  <c r="A280" i="65"/>
  <c r="C356" i="65"/>
  <c r="A356" i="65"/>
  <c r="C372" i="65"/>
  <c r="A372" i="65"/>
  <c r="C388" i="65"/>
  <c r="A388" i="65"/>
  <c r="C404" i="65"/>
  <c r="A404" i="65"/>
  <c r="C420" i="65"/>
  <c r="A420" i="65"/>
  <c r="C436" i="65"/>
  <c r="A436" i="65"/>
  <c r="A29" i="65"/>
  <c r="A61" i="65"/>
  <c r="A18" i="65"/>
  <c r="A34" i="65"/>
  <c r="A50" i="65"/>
  <c r="A52" i="65"/>
  <c r="A66" i="65"/>
  <c r="A67" i="65"/>
  <c r="A68" i="65"/>
  <c r="A73" i="65"/>
  <c r="A82" i="65"/>
  <c r="A83" i="65"/>
  <c r="A84" i="65"/>
  <c r="A89" i="65"/>
  <c r="A98" i="65"/>
  <c r="A99" i="65"/>
  <c r="A100" i="65"/>
  <c r="A105" i="65"/>
  <c r="A114" i="65"/>
  <c r="A115" i="65"/>
  <c r="A116" i="65"/>
  <c r="A121" i="65"/>
  <c r="A130" i="65"/>
  <c r="A132" i="65"/>
  <c r="A133" i="65"/>
  <c r="A134" i="65"/>
  <c r="A146" i="65"/>
  <c r="A164" i="65"/>
  <c r="A165" i="65"/>
  <c r="A166" i="65"/>
  <c r="A178" i="65"/>
  <c r="A277" i="65"/>
  <c r="A278" i="65"/>
  <c r="A282" i="65"/>
  <c r="A283" i="65"/>
  <c r="A292" i="65"/>
  <c r="A293" i="65"/>
  <c r="A294" i="65"/>
  <c r="A315" i="65"/>
  <c r="A339" i="65"/>
  <c r="A340" i="65"/>
  <c r="C371" i="65"/>
  <c r="A371" i="65"/>
  <c r="C387" i="65"/>
  <c r="A387" i="65"/>
  <c r="C403" i="65"/>
  <c r="A403" i="65"/>
  <c r="C419" i="65"/>
  <c r="A419" i="65"/>
  <c r="C435" i="65"/>
  <c r="A435" i="65"/>
  <c r="A13" i="65"/>
  <c r="A9" i="65"/>
  <c r="A19" i="65"/>
  <c r="A20" i="65"/>
  <c r="A35" i="65"/>
  <c r="A36" i="65"/>
  <c r="A41" i="65"/>
  <c r="A51" i="65"/>
  <c r="A57" i="65"/>
  <c r="A14" i="65"/>
  <c r="A15" i="65"/>
  <c r="A21" i="65"/>
  <c r="A30" i="65"/>
  <c r="A31" i="65"/>
  <c r="A37" i="65"/>
  <c r="A46" i="65"/>
  <c r="A47" i="65"/>
  <c r="A53" i="65"/>
  <c r="A62" i="65"/>
  <c r="A63" i="65"/>
  <c r="A69" i="65"/>
  <c r="A78" i="65"/>
  <c r="A79" i="65"/>
  <c r="A85" i="65"/>
  <c r="A94" i="65"/>
  <c r="A95" i="65"/>
  <c r="A101" i="65"/>
  <c r="A110" i="65"/>
  <c r="A111" i="65"/>
  <c r="A117" i="65"/>
  <c r="A126" i="65"/>
  <c r="A127" i="65"/>
  <c r="A138" i="65"/>
  <c r="A156" i="65"/>
  <c r="A159" i="65"/>
  <c r="A161" i="65"/>
  <c r="C162" i="65"/>
  <c r="A170" i="65"/>
  <c r="A285" i="65"/>
  <c r="A286" i="65"/>
  <c r="A291" i="65"/>
  <c r="A310" i="65"/>
  <c r="A314" i="65"/>
  <c r="A331" i="65"/>
  <c r="A332" i="65"/>
  <c r="A338" i="65"/>
  <c r="A345" i="65"/>
  <c r="A361" i="65"/>
  <c r="A377" i="65"/>
  <c r="A393" i="65"/>
  <c r="A409" i="65"/>
  <c r="A425" i="65"/>
  <c r="A439" i="65"/>
  <c r="A441" i="65"/>
  <c r="A443" i="65"/>
  <c r="A445" i="65"/>
  <c r="A447" i="65"/>
  <c r="A449" i="65"/>
  <c r="A451" i="65"/>
  <c r="A453" i="65"/>
  <c r="A455" i="65"/>
  <c r="A457" i="65"/>
  <c r="A459" i="65"/>
  <c r="A461" i="65"/>
  <c r="A463" i="65"/>
  <c r="A465" i="65"/>
  <c r="A467" i="65"/>
  <c r="A469" i="65"/>
  <c r="A471" i="65"/>
  <c r="A473" i="65"/>
  <c r="A475" i="65"/>
  <c r="A477" i="65"/>
  <c r="A479" i="65"/>
  <c r="A481" i="65"/>
  <c r="A483" i="65"/>
  <c r="A485" i="65"/>
  <c r="A487" i="65"/>
  <c r="A489" i="65"/>
  <c r="A491" i="65"/>
  <c r="A493" i="65"/>
  <c r="A495" i="65"/>
  <c r="A497" i="65"/>
  <c r="A499" i="65"/>
  <c r="A501" i="65"/>
  <c r="A503" i="65"/>
  <c r="A510" i="65"/>
  <c r="A511" i="65"/>
  <c r="A518" i="65"/>
  <c r="A519" i="65"/>
  <c r="A526" i="65"/>
  <c r="A527" i="65"/>
  <c r="A534" i="65"/>
  <c r="A540" i="65"/>
  <c r="A544" i="65"/>
  <c r="A548" i="65"/>
  <c r="A552" i="65"/>
  <c r="A556" i="65"/>
  <c r="A560" i="65"/>
  <c r="A564" i="65"/>
  <c r="A568" i="65"/>
  <c r="A572" i="65"/>
  <c r="A576" i="65"/>
  <c r="A580" i="65"/>
  <c r="A584" i="65"/>
  <c r="A588" i="65"/>
  <c r="A592" i="65"/>
  <c r="A596" i="65"/>
  <c r="A600" i="65"/>
  <c r="A604" i="65"/>
  <c r="A370" i="65"/>
  <c r="A386" i="65"/>
  <c r="A402" i="65"/>
  <c r="A418" i="65"/>
  <c r="A434" i="65"/>
  <c r="A508" i="65"/>
  <c r="A516" i="65"/>
  <c r="A524" i="65"/>
  <c r="A532" i="65"/>
  <c r="A290" i="65"/>
  <c r="A317" i="65"/>
  <c r="A318" i="65"/>
  <c r="A322" i="65"/>
  <c r="A334" i="65"/>
  <c r="A337" i="65"/>
  <c r="A350" i="65"/>
  <c r="A353" i="65"/>
  <c r="A366" i="65"/>
  <c r="A369" i="65"/>
  <c r="A382" i="65"/>
  <c r="A385" i="65"/>
  <c r="A398" i="65"/>
  <c r="A401" i="65"/>
  <c r="A414" i="65"/>
  <c r="A417" i="65"/>
  <c r="A430" i="65"/>
  <c r="A433" i="65"/>
  <c r="A507" i="65"/>
  <c r="A515" i="65"/>
  <c r="A523" i="65"/>
  <c r="A531" i="65"/>
  <c r="A538" i="65"/>
  <c r="A542" i="65"/>
  <c r="A546" i="65"/>
  <c r="A550" i="65"/>
  <c r="A554" i="65"/>
  <c r="A558" i="65"/>
  <c r="A562" i="65"/>
  <c r="A566" i="65"/>
  <c r="A570" i="65"/>
  <c r="A574" i="65"/>
  <c r="A578" i="65"/>
  <c r="A582" i="65"/>
  <c r="A586" i="65"/>
  <c r="A590" i="65"/>
  <c r="A594" i="65"/>
  <c r="A598" i="65"/>
  <c r="A602" i="65"/>
  <c r="A606" i="65"/>
  <c r="A533" i="65"/>
  <c r="A535" i="65"/>
  <c r="A537" i="65"/>
  <c r="A539" i="65"/>
  <c r="A541" i="65"/>
  <c r="A543" i="65"/>
  <c r="A545" i="65"/>
  <c r="A547" i="65"/>
  <c r="A549" i="65"/>
  <c r="A551" i="65"/>
  <c r="A553" i="65"/>
  <c r="A555" i="65"/>
  <c r="A557" i="65"/>
  <c r="A559" i="65"/>
  <c r="A561" i="65"/>
  <c r="A563" i="65"/>
  <c r="A565" i="65"/>
  <c r="A567" i="65"/>
  <c r="A569" i="65"/>
  <c r="A571" i="65"/>
  <c r="A573" i="65"/>
  <c r="A575" i="65"/>
  <c r="A577" i="65"/>
  <c r="A579" i="65"/>
  <c r="A581" i="65"/>
  <c r="A583" i="65"/>
  <c r="A585" i="65"/>
  <c r="A587" i="65"/>
  <c r="A589" i="65"/>
  <c r="A591" i="65"/>
  <c r="A593" i="65"/>
  <c r="A595" i="65"/>
  <c r="A597" i="65"/>
  <c r="A599" i="65"/>
  <c r="A601" i="65"/>
  <c r="A603" i="65"/>
  <c r="A605" i="65"/>
  <c r="A607" i="65"/>
  <c r="C608" i="65"/>
  <c r="C295" i="65"/>
  <c r="A295" i="65"/>
  <c r="A25" i="65"/>
  <c r="A45" i="65"/>
  <c r="C9" i="65"/>
  <c r="C13" i="65"/>
  <c r="C17" i="65"/>
  <c r="C21" i="65"/>
  <c r="C29" i="65"/>
  <c r="C33" i="65"/>
  <c r="C37" i="65"/>
  <c r="C41" i="65"/>
  <c r="C49" i="65"/>
  <c r="C53" i="65"/>
  <c r="C57" i="65"/>
  <c r="C61" i="65"/>
  <c r="C65" i="65"/>
  <c r="C69" i="65"/>
  <c r="C73" i="65"/>
  <c r="C77" i="65"/>
  <c r="C81" i="65"/>
  <c r="C85" i="65"/>
  <c r="C89" i="65"/>
  <c r="C93" i="65"/>
  <c r="C97" i="65"/>
  <c r="C101" i="65"/>
  <c r="C105" i="65"/>
  <c r="C109" i="65"/>
  <c r="C113" i="65"/>
  <c r="C117" i="65"/>
  <c r="C121" i="65"/>
  <c r="C125" i="65"/>
  <c r="C129" i="65"/>
  <c r="A131" i="65"/>
  <c r="A139" i="65"/>
  <c r="A147" i="65"/>
  <c r="A155" i="65"/>
  <c r="A163" i="65"/>
  <c r="A171" i="65"/>
  <c r="A179" i="65"/>
  <c r="C287" i="65"/>
  <c r="A287" i="65"/>
  <c r="C319" i="65"/>
  <c r="A319" i="65"/>
  <c r="C271" i="65"/>
  <c r="A271" i="65"/>
  <c r="C303" i="65"/>
  <c r="A303" i="65"/>
  <c r="C327" i="65"/>
  <c r="A327" i="65"/>
  <c r="C279" i="65"/>
  <c r="A279" i="65"/>
  <c r="C311" i="65"/>
  <c r="A311" i="65"/>
  <c r="A273" i="65"/>
  <c r="A281" i="65"/>
  <c r="A289" i="65"/>
  <c r="A297" i="65"/>
  <c r="A305" i="65"/>
  <c r="A313" i="65"/>
  <c r="A321" i="65"/>
  <c r="A329" i="65"/>
  <c r="W18" i="56" l="1"/>
  <c r="S17" i="56"/>
  <c r="K17" i="56"/>
  <c r="J17" i="56"/>
  <c r="V18" i="56"/>
  <c r="T17" i="56"/>
  <c r="N17" i="56"/>
  <c r="H17" i="56"/>
  <c r="M17" i="56"/>
  <c r="G17" i="56"/>
  <c r="I36" i="68"/>
  <c r="M36" i="68"/>
  <c r="M35" i="68"/>
  <c r="R36" i="68"/>
  <c r="R35" i="68"/>
  <c r="I19" i="68" a="1"/>
  <c r="I19" i="68" s="1"/>
  <c r="L36" i="68"/>
  <c r="L35" i="68"/>
  <c r="Q36" i="68"/>
  <c r="Q35" i="68"/>
  <c r="J10" i="68" a="1"/>
  <c r="J13" i="68" s="1"/>
  <c r="K36" i="68"/>
  <c r="K35" i="68"/>
  <c r="P36" i="68"/>
  <c r="P35" i="68"/>
  <c r="I10" i="68" a="1"/>
  <c r="I10" i="68" s="1"/>
  <c r="J36" i="68"/>
  <c r="J35" i="68"/>
  <c r="O36" i="68"/>
  <c r="O35" i="68"/>
  <c r="T36" i="68"/>
  <c r="T35" i="68"/>
  <c r="I35" i="68"/>
  <c r="N36" i="68"/>
  <c r="N35" i="68"/>
  <c r="S36" i="68"/>
  <c r="S35" i="68"/>
  <c r="J19" i="68" a="1"/>
  <c r="J22" i="68" s="1"/>
  <c r="P55" i="67"/>
  <c r="L55" i="67"/>
  <c r="H55" i="67"/>
  <c r="P54" i="67"/>
  <c r="L54" i="67"/>
  <c r="H54" i="67"/>
  <c r="P53" i="67"/>
  <c r="L53" i="67"/>
  <c r="H53" i="67"/>
  <c r="P52" i="67"/>
  <c r="L52" i="67"/>
  <c r="H52" i="67"/>
  <c r="P51" i="67"/>
  <c r="L51" i="67"/>
  <c r="H51" i="67"/>
  <c r="P50" i="67"/>
  <c r="L50" i="67"/>
  <c r="H50" i="67"/>
  <c r="P49" i="67"/>
  <c r="L49" i="67"/>
  <c r="H49" i="67"/>
  <c r="P48" i="67"/>
  <c r="L48" i="67"/>
  <c r="H48" i="67"/>
  <c r="O55" i="67"/>
  <c r="K55" i="67"/>
  <c r="G55" i="67"/>
  <c r="O54" i="67"/>
  <c r="K54" i="67"/>
  <c r="G54" i="67"/>
  <c r="O53" i="67"/>
  <c r="K53" i="67"/>
  <c r="G53" i="67"/>
  <c r="O52" i="67"/>
  <c r="K52" i="67"/>
  <c r="G52" i="67"/>
  <c r="O51" i="67"/>
  <c r="K51" i="67"/>
  <c r="G51" i="67"/>
  <c r="O50" i="67"/>
  <c r="K50" i="67"/>
  <c r="G50" i="67"/>
  <c r="O49" i="67"/>
  <c r="K49" i="67"/>
  <c r="G49" i="67"/>
  <c r="O48" i="67"/>
  <c r="K48" i="67"/>
  <c r="G48" i="67"/>
  <c r="A5" i="58"/>
  <c r="A4" i="58" s="1"/>
  <c r="M48" i="67"/>
  <c r="N55" i="67"/>
  <c r="J55" i="67"/>
  <c r="F55" i="67"/>
  <c r="N54" i="67"/>
  <c r="J54" i="67"/>
  <c r="F54" i="67"/>
  <c r="N53" i="67"/>
  <c r="J53" i="67"/>
  <c r="F53" i="67"/>
  <c r="N52" i="67"/>
  <c r="J52" i="67"/>
  <c r="F52" i="67"/>
  <c r="N51" i="67"/>
  <c r="J51" i="67"/>
  <c r="F51" i="67"/>
  <c r="N50" i="67"/>
  <c r="J50" i="67"/>
  <c r="F50" i="67"/>
  <c r="N49" i="67"/>
  <c r="J49" i="67"/>
  <c r="F49" i="67"/>
  <c r="N48" i="67"/>
  <c r="J48" i="67"/>
  <c r="F48" i="67"/>
  <c r="Q55" i="67"/>
  <c r="M55" i="67"/>
  <c r="I55" i="67"/>
  <c r="Q54" i="67"/>
  <c r="M54" i="67"/>
  <c r="I54" i="67"/>
  <c r="Q53" i="67"/>
  <c r="M53" i="67"/>
  <c r="I53" i="67"/>
  <c r="Q52" i="67"/>
  <c r="M52" i="67"/>
  <c r="I52" i="67"/>
  <c r="Q51" i="67"/>
  <c r="M51" i="67"/>
  <c r="I51" i="67"/>
  <c r="Q50" i="67"/>
  <c r="M50" i="67"/>
  <c r="I50" i="67"/>
  <c r="Q49" i="67"/>
  <c r="M49" i="67"/>
  <c r="I49" i="67"/>
  <c r="Q48" i="67"/>
  <c r="I48" i="67"/>
  <c r="A5" i="57"/>
  <c r="A4" i="57" s="1"/>
  <c r="A5" i="55"/>
  <c r="A4" i="55" s="1"/>
  <c r="P44" i="67"/>
  <c r="F45" i="67"/>
  <c r="L46" i="67"/>
  <c r="K46" i="67"/>
  <c r="J46" i="67"/>
  <c r="A3" i="56"/>
  <c r="A2" i="56" s="1"/>
  <c r="W15" i="56" s="1"/>
  <c r="B3" i="56"/>
  <c r="B2" i="56" s="1"/>
  <c r="C3" i="56"/>
  <c r="J47" i="67"/>
  <c r="G44" i="67"/>
  <c r="L45" i="67"/>
  <c r="F44" i="67"/>
  <c r="P46" i="67"/>
  <c r="K45" i="67"/>
  <c r="F47" i="67"/>
  <c r="O46" i="67"/>
  <c r="J45" i="67"/>
  <c r="F46" i="67"/>
  <c r="N46" i="67"/>
  <c r="I45" i="67"/>
  <c r="N47" i="67"/>
  <c r="G45" i="67"/>
  <c r="Q44" i="67"/>
  <c r="O47" i="67"/>
  <c r="K44" i="67"/>
  <c r="M46" i="67"/>
  <c r="I46" i="67"/>
  <c r="M47" i="67"/>
  <c r="H46" i="67"/>
  <c r="N44" i="67"/>
  <c r="L47" i="67"/>
  <c r="G46" i="67"/>
  <c r="M44" i="67"/>
  <c r="K47" i="67"/>
  <c r="Q45" i="67"/>
  <c r="L44" i="67"/>
  <c r="P45" i="67"/>
  <c r="Q47" i="67"/>
  <c r="P47" i="67"/>
  <c r="Q46" i="67"/>
  <c r="H45" i="67"/>
  <c r="O44" i="67"/>
  <c r="I47" i="67"/>
  <c r="O45" i="67"/>
  <c r="J44" i="67"/>
  <c r="H47" i="67"/>
  <c r="N45" i="67"/>
  <c r="I44" i="67"/>
  <c r="G47" i="67"/>
  <c r="M45" i="67"/>
  <c r="H44" i="67"/>
  <c r="F22" i="72"/>
  <c r="F21" i="72"/>
  <c r="F29" i="72"/>
  <c r="F32" i="72"/>
  <c r="F25" i="72"/>
  <c r="F24" i="72"/>
  <c r="F28" i="72"/>
  <c r="F23" i="72"/>
  <c r="F31" i="72"/>
  <c r="F26" i="72"/>
  <c r="F27" i="72"/>
  <c r="F30" i="72"/>
  <c r="J14" i="66"/>
  <c r="J80" i="66" s="1"/>
  <c r="F58" i="67"/>
  <c r="G12" i="66"/>
  <c r="G78" i="66" s="1"/>
  <c r="G13" i="66"/>
  <c r="G79" i="66" s="1"/>
  <c r="G15" i="66"/>
  <c r="P64" i="67"/>
  <c r="L64" i="67"/>
  <c r="H64" i="67"/>
  <c r="P59" i="67"/>
  <c r="L59" i="67"/>
  <c r="H59" i="67"/>
  <c r="P58" i="67"/>
  <c r="L58" i="67"/>
  <c r="H58" i="67"/>
  <c r="P57" i="67"/>
  <c r="L57" i="67"/>
  <c r="H57" i="67"/>
  <c r="P56" i="67"/>
  <c r="L56" i="67"/>
  <c r="H56" i="67"/>
  <c r="K64" i="67"/>
  <c r="G64" i="67"/>
  <c r="O59" i="67"/>
  <c r="G59" i="67"/>
  <c r="K58" i="67"/>
  <c r="K57" i="67"/>
  <c r="O56" i="67"/>
  <c r="G56" i="67"/>
  <c r="J64" i="67"/>
  <c r="J59" i="67"/>
  <c r="J58" i="67"/>
  <c r="J57" i="67"/>
  <c r="J56" i="67"/>
  <c r="O64" i="67"/>
  <c r="K59" i="67"/>
  <c r="O58" i="67"/>
  <c r="G58" i="67"/>
  <c r="O57" i="67"/>
  <c r="G57" i="67"/>
  <c r="K56" i="67"/>
  <c r="N59" i="67"/>
  <c r="N58" i="67"/>
  <c r="N57" i="67"/>
  <c r="N56" i="67"/>
  <c r="N64" i="67"/>
  <c r="F59" i="67"/>
  <c r="F57" i="67"/>
  <c r="F56" i="67"/>
  <c r="M57" i="67"/>
  <c r="I56" i="67"/>
  <c r="M58" i="67"/>
  <c r="I57" i="67"/>
  <c r="I59" i="67"/>
  <c r="M64" i="67"/>
  <c r="Q59" i="67"/>
  <c r="M56" i="67"/>
  <c r="I64" i="67"/>
  <c r="M59" i="67"/>
  <c r="I58" i="67"/>
  <c r="Q56" i="67"/>
  <c r="Q57" i="67"/>
  <c r="I15" i="66"/>
  <c r="H13" i="66"/>
  <c r="H79" i="66" s="1"/>
  <c r="H15" i="66"/>
  <c r="H11" i="66"/>
  <c r="H82" i="66" s="1"/>
  <c r="J15" i="66"/>
  <c r="J11" i="66"/>
  <c r="J82" i="66" s="1"/>
  <c r="I11" i="66"/>
  <c r="I82" i="66" s="1"/>
  <c r="I13" i="66"/>
  <c r="I79" i="66" s="1"/>
  <c r="J13" i="66"/>
  <c r="J79" i="66" s="1"/>
  <c r="I12" i="66"/>
  <c r="H14" i="66"/>
  <c r="H80" i="66" s="1"/>
  <c r="J12" i="66"/>
  <c r="I14" i="66"/>
  <c r="I80" i="66" s="1"/>
  <c r="H12" i="66"/>
  <c r="G11" i="66"/>
  <c r="G82" i="66" s="1"/>
  <c r="G14" i="66"/>
  <c r="G33" i="63" a="1"/>
  <c r="R33" i="63" s="1"/>
  <c r="W16" i="56" l="1"/>
  <c r="H16" i="56"/>
  <c r="K16" i="56"/>
  <c r="N16" i="56"/>
  <c r="T16" i="56"/>
  <c r="W13" i="56"/>
  <c r="S14" i="56"/>
  <c r="M14" i="56"/>
  <c r="J14" i="56"/>
  <c r="V13" i="56"/>
  <c r="V14" i="56"/>
  <c r="T13" i="56"/>
  <c r="N13" i="56"/>
  <c r="K13" i="56"/>
  <c r="H14" i="56"/>
  <c r="G14" i="56"/>
  <c r="G13" i="56"/>
  <c r="W14" i="56"/>
  <c r="T14" i="56"/>
  <c r="N14" i="56"/>
  <c r="K14" i="56"/>
  <c r="B4" i="56"/>
  <c r="F14" i="56" s="1"/>
  <c r="S13" i="56"/>
  <c r="M13" i="56"/>
  <c r="J13" i="56"/>
  <c r="H13" i="56"/>
  <c r="V15" i="56"/>
  <c r="V16" i="56"/>
  <c r="G16" i="56"/>
  <c r="S16" i="56"/>
  <c r="M16" i="56"/>
  <c r="J16" i="56"/>
  <c r="A4" i="56"/>
  <c r="F15" i="56" s="1"/>
  <c r="M34" i="68"/>
  <c r="J11" i="68"/>
  <c r="J10" i="68"/>
  <c r="I34" i="68"/>
  <c r="N34" i="68"/>
  <c r="T34" i="68"/>
  <c r="Q34" i="68"/>
  <c r="K34" i="68"/>
  <c r="R34" i="68"/>
  <c r="I21" i="68"/>
  <c r="I23" i="68"/>
  <c r="P34" i="68"/>
  <c r="J15" i="68"/>
  <c r="O34" i="68"/>
  <c r="L34" i="68"/>
  <c r="S34" i="68"/>
  <c r="I24" i="68"/>
  <c r="O17" i="56"/>
  <c r="I20" i="68"/>
  <c r="J14" i="68"/>
  <c r="J12" i="68"/>
  <c r="I22" i="68"/>
  <c r="J20" i="68"/>
  <c r="I11" i="68"/>
  <c r="J23" i="68"/>
  <c r="I13" i="68"/>
  <c r="J19" i="68"/>
  <c r="J24" i="68"/>
  <c r="I12" i="68"/>
  <c r="I15" i="68"/>
  <c r="L17" i="56"/>
  <c r="J21" i="68"/>
  <c r="I14" i="68"/>
  <c r="J34" i="68"/>
  <c r="U17" i="56"/>
  <c r="J34" i="56"/>
  <c r="I28" i="68"/>
  <c r="I29" i="68" s="1"/>
  <c r="F31" i="58"/>
  <c r="F31" i="57"/>
  <c r="C2" i="56"/>
  <c r="C4" i="56" s="1"/>
  <c r="J27" i="56"/>
  <c r="J30" i="56"/>
  <c r="J29" i="56"/>
  <c r="J31" i="56"/>
  <c r="J28" i="56"/>
  <c r="A3" i="67"/>
  <c r="A2" i="67" s="1"/>
  <c r="A4" i="67" s="1"/>
  <c r="E8" i="67" s="1"/>
  <c r="B3" i="67"/>
  <c r="B2" i="67" s="1"/>
  <c r="C3" i="67"/>
  <c r="C2" i="67" s="1"/>
  <c r="Q58" i="67"/>
  <c r="J78" i="66"/>
  <c r="J10" i="66"/>
  <c r="J81" i="66" s="1"/>
  <c r="H17" i="66"/>
  <c r="H78" i="66"/>
  <c r="H10" i="66"/>
  <c r="H81" i="66" s="1"/>
  <c r="I10" i="66"/>
  <c r="I81" i="66" s="1"/>
  <c r="I17" i="66"/>
  <c r="I78" i="66"/>
  <c r="G80" i="66"/>
  <c r="G17" i="66"/>
  <c r="G10" i="66"/>
  <c r="G81" i="66" s="1"/>
  <c r="I33" i="63"/>
  <c r="O33" i="63"/>
  <c r="M33" i="63"/>
  <c r="Q33" i="63"/>
  <c r="G33" i="63"/>
  <c r="K33" i="63"/>
  <c r="H33" i="63"/>
  <c r="L33" i="63"/>
  <c r="P33" i="63"/>
  <c r="J33" i="63"/>
  <c r="N33" i="63"/>
  <c r="O21" i="63"/>
  <c r="O6" i="63"/>
  <c r="A1" i="63"/>
  <c r="K19" i="68" l="1" a="1"/>
  <c r="K19" i="68" s="1"/>
  <c r="J28" i="68"/>
  <c r="J30" i="68" s="1"/>
  <c r="L19" i="68" a="1"/>
  <c r="L23" i="68" s="1"/>
  <c r="M19" i="68" a="1"/>
  <c r="M24" i="68" s="1"/>
  <c r="K10" i="68" a="1"/>
  <c r="K12" i="68" s="1"/>
  <c r="N10" i="68" a="1"/>
  <c r="N11" i="68" s="1"/>
  <c r="N19" i="68" a="1"/>
  <c r="N22" i="68" s="1"/>
  <c r="L10" i="68" a="1"/>
  <c r="L10" i="68" s="1"/>
  <c r="M10" i="68" a="1"/>
  <c r="M13" i="68" s="1"/>
  <c r="X13" i="56"/>
  <c r="X16" i="56"/>
  <c r="L14" i="56"/>
  <c r="O16" i="56"/>
  <c r="L13" i="56"/>
  <c r="U14" i="56"/>
  <c r="O14" i="56"/>
  <c r="O13" i="56"/>
  <c r="U16" i="56"/>
  <c r="U13" i="56"/>
  <c r="X14" i="56"/>
  <c r="L16" i="56"/>
  <c r="I30" i="68"/>
  <c r="Q63" i="67"/>
  <c r="M63" i="67"/>
  <c r="I63" i="67"/>
  <c r="O63" i="67"/>
  <c r="K63" i="67"/>
  <c r="G63" i="67"/>
  <c r="P63" i="67"/>
  <c r="L63" i="67"/>
  <c r="H63" i="67"/>
  <c r="N63" i="67"/>
  <c r="J63" i="67"/>
  <c r="F63" i="67"/>
  <c r="Q62" i="67"/>
  <c r="M62" i="67"/>
  <c r="I62" i="67"/>
  <c r="O62" i="67"/>
  <c r="K62" i="67"/>
  <c r="G62" i="67"/>
  <c r="P62" i="67"/>
  <c r="L62" i="67"/>
  <c r="H62" i="67"/>
  <c r="N62" i="67"/>
  <c r="J62" i="67"/>
  <c r="F62" i="67"/>
  <c r="F16" i="56"/>
  <c r="E25" i="56" s="1"/>
  <c r="E8" i="61" s="1"/>
  <c r="O61" i="67"/>
  <c r="J61" i="67"/>
  <c r="M61" i="67"/>
  <c r="P61" i="67"/>
  <c r="K61" i="67"/>
  <c r="I61" i="67"/>
  <c r="L61" i="67"/>
  <c r="G61" i="67"/>
  <c r="Q61" i="67"/>
  <c r="H61" i="67"/>
  <c r="N61" i="67"/>
  <c r="B4" i="67"/>
  <c r="I13" i="56"/>
  <c r="C4" i="67"/>
  <c r="Q64" i="67"/>
  <c r="F64" i="67"/>
  <c r="J83" i="66"/>
  <c r="G83" i="66"/>
  <c r="I83" i="66"/>
  <c r="H83" i="66"/>
  <c r="D27" i="63"/>
  <c r="D31" i="63"/>
  <c r="D29" i="63"/>
  <c r="D28" i="63"/>
  <c r="D30" i="63"/>
  <c r="D33" i="63"/>
  <c r="W23" i="62" a="1"/>
  <c r="W33" i="62" s="1"/>
  <c r="A1" i="62"/>
  <c r="J29" i="68" l="1"/>
  <c r="K24" i="68"/>
  <c r="K23" i="68"/>
  <c r="K20" i="68"/>
  <c r="K22" i="68"/>
  <c r="K10" i="68"/>
  <c r="K28" i="68" s="1"/>
  <c r="K21" i="68"/>
  <c r="K13" i="68"/>
  <c r="L19" i="68"/>
  <c r="L28" i="68" s="1"/>
  <c r="K11" i="68"/>
  <c r="L22" i="68"/>
  <c r="L24" i="68"/>
  <c r="L20" i="68"/>
  <c r="K14" i="68"/>
  <c r="K15" i="68"/>
  <c r="M23" i="68"/>
  <c r="M20" i="68"/>
  <c r="M21" i="68"/>
  <c r="M19" i="68"/>
  <c r="M22" i="68"/>
  <c r="L21" i="68"/>
  <c r="N12" i="68"/>
  <c r="N13" i="68"/>
  <c r="N15" i="68"/>
  <c r="N14" i="68"/>
  <c r="N10" i="68"/>
  <c r="N21" i="68"/>
  <c r="M11" i="68"/>
  <c r="N23" i="68"/>
  <c r="N19" i="68"/>
  <c r="M10" i="68"/>
  <c r="N20" i="68"/>
  <c r="M14" i="68"/>
  <c r="N24" i="68"/>
  <c r="L13" i="68"/>
  <c r="M12" i="68"/>
  <c r="L14" i="68"/>
  <c r="L12" i="68"/>
  <c r="M15" i="68"/>
  <c r="L11" i="68"/>
  <c r="L15" i="68"/>
  <c r="W26" i="62"/>
  <c r="W30" i="62"/>
  <c r="W34" i="62"/>
  <c r="W23" i="62"/>
  <c r="W27" i="62"/>
  <c r="W31" i="62"/>
  <c r="W24" i="62"/>
  <c r="W28" i="62"/>
  <c r="W32" i="62"/>
  <c r="W25" i="62"/>
  <c r="W29" i="62"/>
  <c r="A1" i="1"/>
  <c r="A1" i="55"/>
  <c r="F31" i="59"/>
  <c r="F30" i="59"/>
  <c r="F18" i="59"/>
  <c r="F19" i="59"/>
  <c r="F20" i="59"/>
  <c r="F21" i="59"/>
  <c r="F22" i="59"/>
  <c r="F23" i="59"/>
  <c r="F24" i="59"/>
  <c r="F25" i="59"/>
  <c r="F26" i="59"/>
  <c r="F27" i="59"/>
  <c r="F17" i="59"/>
  <c r="AA8" i="56"/>
  <c r="N28" i="68" l="1"/>
  <c r="M28" i="68"/>
  <c r="E20" i="68" a="1"/>
  <c r="E21" i="68" s="1"/>
  <c r="D34" i="55"/>
  <c r="D29" i="55"/>
  <c r="D31" i="55"/>
  <c r="D35" i="55"/>
  <c r="D33" i="55"/>
  <c r="D30" i="55"/>
  <c r="D32" i="55"/>
  <c r="E11" i="68" a="1"/>
  <c r="E14" i="68" s="1"/>
  <c r="J17" i="1"/>
  <c r="K17" i="1"/>
  <c r="D17" i="1"/>
  <c r="J17" i="66"/>
  <c r="E8" i="55"/>
  <c r="E28" i="55"/>
  <c r="A1" i="61"/>
  <c r="A1" i="60"/>
  <c r="E23" i="68" l="1"/>
  <c r="E22" i="68"/>
  <c r="E20" i="68"/>
  <c r="E24" i="68"/>
  <c r="E12" i="68"/>
  <c r="E13" i="68"/>
  <c r="E15" i="68"/>
  <c r="E11" i="68"/>
  <c r="A1" i="59"/>
  <c r="I49" i="1"/>
  <c r="D29" i="59" l="1"/>
  <c r="D35" i="59"/>
  <c r="D32" i="59"/>
  <c r="D33" i="59"/>
  <c r="D31" i="59"/>
  <c r="D34" i="59"/>
  <c r="D30" i="59"/>
  <c r="G32" i="58" a="1"/>
  <c r="G32" i="57" a="1"/>
  <c r="S6" i="63"/>
  <c r="E8" i="63"/>
  <c r="S28" i="59"/>
  <c r="G9" i="58"/>
  <c r="S28" i="58"/>
  <c r="S6" i="57"/>
  <c r="G9" i="57"/>
  <c r="S6" i="59"/>
  <c r="S28" i="57"/>
  <c r="G9" i="59"/>
  <c r="S6" i="58"/>
  <c r="S6" i="55"/>
  <c r="S28" i="55"/>
  <c r="G9" i="55"/>
  <c r="A3" i="58" a="1"/>
  <c r="A3" i="58" s="1"/>
  <c r="A2" i="58" s="1"/>
  <c r="A3" i="61" a="1"/>
  <c r="A3" i="61" s="1"/>
  <c r="A2" i="61" s="1"/>
  <c r="F10" i="61" s="1"/>
  <c r="B3" i="55" a="1"/>
  <c r="B3" i="55" s="1"/>
  <c r="A3" i="55" a="1"/>
  <c r="A3" i="55" s="1"/>
  <c r="A3" i="57" a="1"/>
  <c r="A3" i="57" s="1"/>
  <c r="E28" i="58"/>
  <c r="E8" i="57"/>
  <c r="E8" i="59"/>
  <c r="E8" i="58"/>
  <c r="G32" i="59" a="1"/>
  <c r="S16" i="59" a="1"/>
  <c r="S23" i="59" s="1"/>
  <c r="G30" i="59" a="1"/>
  <c r="Q16" i="59" a="1"/>
  <c r="P16" i="59" a="1"/>
  <c r="R16" i="59" a="1"/>
  <c r="O16" i="59" a="1"/>
  <c r="N16" i="59" a="1"/>
  <c r="M16" i="59" a="1"/>
  <c r="I16" i="59" a="1"/>
  <c r="I25" i="59" s="1"/>
  <c r="L16" i="59" a="1"/>
  <c r="K16" i="59" a="1"/>
  <c r="J16" i="59" a="1"/>
  <c r="G16" i="59" a="1"/>
  <c r="G22" i="59" s="1"/>
  <c r="H16" i="59" a="1"/>
  <c r="U6" i="59"/>
  <c r="U6" i="57"/>
  <c r="E23" i="66" s="1"/>
  <c r="E30" i="55"/>
  <c r="E30" i="59"/>
  <c r="E30" i="58"/>
  <c r="E30" i="57"/>
  <c r="E28" i="59"/>
  <c r="U6" i="58"/>
  <c r="O8" i="66" s="1"/>
  <c r="E28" i="57"/>
  <c r="G10" i="59" l="1"/>
  <c r="O20" i="63"/>
  <c r="E20" i="63"/>
  <c r="E23" i="67"/>
  <c r="O8" i="63"/>
  <c r="O8" i="67"/>
  <c r="G32" i="58"/>
  <c r="Q32" i="58"/>
  <c r="H32" i="58"/>
  <c r="J32" i="58"/>
  <c r="L32" i="58"/>
  <c r="N32" i="58"/>
  <c r="P32" i="58"/>
  <c r="R32" i="58"/>
  <c r="I32" i="58"/>
  <c r="K32" i="58"/>
  <c r="M32" i="58"/>
  <c r="O32" i="58"/>
  <c r="A2" i="57"/>
  <c r="G10" i="57" s="1"/>
  <c r="L16" i="58" a="1"/>
  <c r="L23" i="58" s="1"/>
  <c r="S16" i="58" a="1"/>
  <c r="S19" i="58" s="1"/>
  <c r="A2" i="55"/>
  <c r="G32" i="55" s="1" a="1"/>
  <c r="F31" i="55"/>
  <c r="G10" i="58"/>
  <c r="I16" i="58" a="1"/>
  <c r="I23" i="58" s="1"/>
  <c r="Q16" i="58" a="1"/>
  <c r="Q26" i="58" s="1"/>
  <c r="M16" i="58" a="1"/>
  <c r="M25" i="58" s="1"/>
  <c r="H16" i="58" a="1"/>
  <c r="H22" i="58" s="1"/>
  <c r="P16" i="58" a="1"/>
  <c r="P27" i="58" s="1"/>
  <c r="G30" i="57" a="1"/>
  <c r="G16" i="58" a="1"/>
  <c r="G26" i="58" s="1"/>
  <c r="K16" i="58" a="1"/>
  <c r="K22" i="58" s="1"/>
  <c r="O16" i="58" a="1"/>
  <c r="O26" i="58" s="1"/>
  <c r="G30" i="58" a="1"/>
  <c r="L30" i="58" s="1"/>
  <c r="J16" i="58" a="1"/>
  <c r="J27" i="58" s="1"/>
  <c r="N16" i="58" a="1"/>
  <c r="N25" i="58" s="1"/>
  <c r="R16" i="58" a="1"/>
  <c r="R19" i="58" s="1"/>
  <c r="F16" i="58"/>
  <c r="F61" i="67"/>
  <c r="E35" i="63"/>
  <c r="E37" i="63"/>
  <c r="E36" i="63"/>
  <c r="I17" i="59"/>
  <c r="I27" i="59"/>
  <c r="G32" i="59"/>
  <c r="M32" i="59"/>
  <c r="Q32" i="59"/>
  <c r="N32" i="59"/>
  <c r="R32" i="59"/>
  <c r="K32" i="59"/>
  <c r="O32" i="59"/>
  <c r="L32" i="59"/>
  <c r="P32" i="59"/>
  <c r="I24" i="59"/>
  <c r="I26" i="59"/>
  <c r="G20" i="59"/>
  <c r="I22" i="59"/>
  <c r="G26" i="59"/>
  <c r="I16" i="59"/>
  <c r="I18" i="59"/>
  <c r="S26" i="59"/>
  <c r="G21" i="59"/>
  <c r="G16" i="59"/>
  <c r="I23" i="59"/>
  <c r="I21" i="59"/>
  <c r="S24" i="59"/>
  <c r="G25" i="59"/>
  <c r="G19" i="59"/>
  <c r="S21" i="59"/>
  <c r="S22" i="59"/>
  <c r="G24" i="59"/>
  <c r="G23" i="59"/>
  <c r="G18" i="59"/>
  <c r="I20" i="59"/>
  <c r="I19" i="59"/>
  <c r="S18" i="59"/>
  <c r="S20" i="59"/>
  <c r="S27" i="59"/>
  <c r="G17" i="59"/>
  <c r="G27" i="59"/>
  <c r="S25" i="59"/>
  <c r="S16" i="59"/>
  <c r="I30" i="59"/>
  <c r="M30" i="59"/>
  <c r="Q30" i="59"/>
  <c r="N30" i="59"/>
  <c r="R30" i="59"/>
  <c r="G30" i="59"/>
  <c r="G37" i="63" s="1"/>
  <c r="K30" i="59"/>
  <c r="O30" i="59"/>
  <c r="L30" i="59"/>
  <c r="P30" i="59"/>
  <c r="R26" i="59"/>
  <c r="R22" i="59"/>
  <c r="R18" i="59"/>
  <c r="R25" i="59"/>
  <c r="R21" i="59"/>
  <c r="R24" i="59"/>
  <c r="R20" i="59"/>
  <c r="R16" i="59"/>
  <c r="R27" i="59"/>
  <c r="R23" i="59"/>
  <c r="R19" i="59"/>
  <c r="P25" i="59"/>
  <c r="P21" i="59"/>
  <c r="P17" i="59"/>
  <c r="P24" i="59"/>
  <c r="P20" i="59"/>
  <c r="P16" i="59"/>
  <c r="P27" i="59"/>
  <c r="P23" i="59"/>
  <c r="P19" i="59"/>
  <c r="P26" i="59"/>
  <c r="P22" i="59"/>
  <c r="P18" i="59"/>
  <c r="Q24" i="59"/>
  <c r="Q20" i="59"/>
  <c r="Q16" i="59"/>
  <c r="Q27" i="59"/>
  <c r="Q23" i="59"/>
  <c r="Q26" i="59"/>
  <c r="Q22" i="59"/>
  <c r="Q18" i="59"/>
  <c r="Q25" i="59"/>
  <c r="Q21" i="59"/>
  <c r="Q17" i="59"/>
  <c r="N27" i="59"/>
  <c r="N23" i="59"/>
  <c r="N19" i="59"/>
  <c r="N25" i="59"/>
  <c r="N21" i="59"/>
  <c r="N17" i="59"/>
  <c r="N24" i="59"/>
  <c r="N20" i="59"/>
  <c r="N16" i="59"/>
  <c r="N26" i="59"/>
  <c r="N22" i="59"/>
  <c r="N18" i="59"/>
  <c r="M26" i="59"/>
  <c r="M22" i="59"/>
  <c r="M18" i="59"/>
  <c r="M25" i="59"/>
  <c r="M21" i="59"/>
  <c r="M17" i="59"/>
  <c r="M24" i="59"/>
  <c r="M20" i="59"/>
  <c r="M16" i="59"/>
  <c r="M27" i="59"/>
  <c r="M23" i="59"/>
  <c r="M19" i="59"/>
  <c r="O27" i="59"/>
  <c r="O23" i="59"/>
  <c r="O19" i="59"/>
  <c r="O26" i="59"/>
  <c r="O22" i="59"/>
  <c r="O18" i="59"/>
  <c r="O24" i="59"/>
  <c r="O20" i="59"/>
  <c r="O16" i="59"/>
  <c r="O25" i="59"/>
  <c r="O21" i="59"/>
  <c r="O17" i="59"/>
  <c r="J27" i="59"/>
  <c r="J23" i="59"/>
  <c r="J19" i="59"/>
  <c r="J26" i="59"/>
  <c r="J22" i="59"/>
  <c r="J18" i="59"/>
  <c r="J25" i="59"/>
  <c r="J21" i="59"/>
  <c r="J17" i="59"/>
  <c r="J24" i="59"/>
  <c r="J20" i="59"/>
  <c r="J16" i="59"/>
  <c r="L27" i="59"/>
  <c r="L23" i="59"/>
  <c r="L19" i="59"/>
  <c r="L26" i="59"/>
  <c r="L22" i="59"/>
  <c r="L18" i="59"/>
  <c r="L25" i="59"/>
  <c r="L21" i="59"/>
  <c r="L17" i="59"/>
  <c r="L24" i="59"/>
  <c r="L20" i="59"/>
  <c r="L16" i="59"/>
  <c r="K27" i="59"/>
  <c r="K23" i="59"/>
  <c r="K19" i="59"/>
  <c r="K26" i="59"/>
  <c r="K22" i="59"/>
  <c r="K18" i="59"/>
  <c r="K25" i="59"/>
  <c r="K21" i="59"/>
  <c r="K17" i="59"/>
  <c r="K24" i="59"/>
  <c r="K20" i="59"/>
  <c r="K16" i="59"/>
  <c r="H17" i="59"/>
  <c r="H21" i="59"/>
  <c r="H25" i="59"/>
  <c r="H18" i="59"/>
  <c r="H22" i="59"/>
  <c r="H26" i="59"/>
  <c r="H19" i="59"/>
  <c r="H23" i="59"/>
  <c r="H27" i="59"/>
  <c r="H16" i="59"/>
  <c r="H20" i="59"/>
  <c r="H24" i="59"/>
  <c r="P37" i="63" l="1"/>
  <c r="Q37" i="63"/>
  <c r="R37" i="63"/>
  <c r="O37" i="63"/>
  <c r="N37" i="63"/>
  <c r="M37" i="63"/>
  <c r="L37" i="63"/>
  <c r="S16" i="58"/>
  <c r="U22" i="59"/>
  <c r="W21" i="59"/>
  <c r="U25" i="59"/>
  <c r="W19" i="59"/>
  <c r="W25" i="59"/>
  <c r="F16" i="55"/>
  <c r="G10" i="55" s="1"/>
  <c r="W26" i="59"/>
  <c r="X23" i="59"/>
  <c r="X24" i="59"/>
  <c r="S18" i="58"/>
  <c r="F16" i="57"/>
  <c r="S22" i="58"/>
  <c r="S23" i="58"/>
  <c r="S26" i="58"/>
  <c r="S20" i="58"/>
  <c r="S24" i="58"/>
  <c r="S25" i="58"/>
  <c r="S17" i="58"/>
  <c r="S27" i="58"/>
  <c r="S21" i="58"/>
  <c r="Q16" i="57" a="1"/>
  <c r="Q25" i="57" s="1"/>
  <c r="V24" i="59"/>
  <c r="V18" i="59"/>
  <c r="V23" i="59"/>
  <c r="W27" i="59"/>
  <c r="W17" i="59"/>
  <c r="W22" i="59"/>
  <c r="X20" i="59"/>
  <c r="X25" i="59"/>
  <c r="U27" i="59"/>
  <c r="U23" i="59"/>
  <c r="U19" i="59"/>
  <c r="U20" i="59"/>
  <c r="U17" i="59"/>
  <c r="U24" i="59"/>
  <c r="U16" i="59"/>
  <c r="V17" i="59"/>
  <c r="V22" i="59"/>
  <c r="V27" i="59"/>
  <c r="W16" i="59"/>
  <c r="X18" i="59"/>
  <c r="V16" i="59"/>
  <c r="V21" i="59"/>
  <c r="V26" i="59"/>
  <c r="W20" i="59"/>
  <c r="X22" i="59"/>
  <c r="X27" i="59"/>
  <c r="U21" i="59"/>
  <c r="U26" i="59"/>
  <c r="V20" i="59"/>
  <c r="V25" i="59"/>
  <c r="V19" i="59"/>
  <c r="W23" i="59"/>
  <c r="W24" i="59"/>
  <c r="W18" i="59"/>
  <c r="X26" i="59"/>
  <c r="X16" i="59"/>
  <c r="X21" i="59"/>
  <c r="U18" i="59"/>
  <c r="O16" i="57" a="1"/>
  <c r="O24" i="57" s="1"/>
  <c r="P16" i="57" a="1"/>
  <c r="P22" i="57" s="1"/>
  <c r="K37" i="63"/>
  <c r="I22" i="58"/>
  <c r="M16" i="57" a="1"/>
  <c r="M25" i="57" s="1"/>
  <c r="N16" i="57" a="1"/>
  <c r="N17" i="57" s="1"/>
  <c r="I37" i="63"/>
  <c r="L20" i="58"/>
  <c r="G16" i="57" a="1"/>
  <c r="G22" i="57" s="1"/>
  <c r="I16" i="57" a="1"/>
  <c r="I18" i="57" s="1"/>
  <c r="S16" i="57" a="1"/>
  <c r="S23" i="57" s="1"/>
  <c r="R16" i="57" a="1"/>
  <c r="R24" i="57" s="1"/>
  <c r="H16" i="57" a="1"/>
  <c r="H27" i="57" s="1"/>
  <c r="J16" i="57" a="1"/>
  <c r="J19" i="57" s="1"/>
  <c r="L16" i="57" a="1"/>
  <c r="L25" i="57" s="1"/>
  <c r="K16" i="57" a="1"/>
  <c r="K16" i="57" s="1"/>
  <c r="P16" i="55" a="1"/>
  <c r="P18" i="55" s="1"/>
  <c r="O16" i="55" a="1"/>
  <c r="O18" i="55" s="1"/>
  <c r="K16" i="55" a="1"/>
  <c r="K27" i="55" s="1"/>
  <c r="L16" i="55" a="1"/>
  <c r="L17" i="55" s="1"/>
  <c r="M16" i="55" a="1"/>
  <c r="M20" i="55" s="1"/>
  <c r="N16" i="55" a="1"/>
  <c r="N19" i="55" s="1"/>
  <c r="Q16" i="55" a="1"/>
  <c r="Q26" i="55" s="1"/>
  <c r="I16" i="55" a="1"/>
  <c r="I21" i="55" s="1"/>
  <c r="H16" i="55" a="1"/>
  <c r="H21" i="55" s="1"/>
  <c r="G16" i="55" a="1"/>
  <c r="G22" i="55" s="1"/>
  <c r="J16" i="55" a="1"/>
  <c r="J25" i="55" s="1"/>
  <c r="M30" i="57"/>
  <c r="L27" i="58"/>
  <c r="L18" i="58"/>
  <c r="L17" i="58"/>
  <c r="L22" i="58"/>
  <c r="L24" i="58"/>
  <c r="L21" i="58"/>
  <c r="L26" i="58"/>
  <c r="L19" i="58"/>
  <c r="L25" i="58"/>
  <c r="L16" i="58"/>
  <c r="G32" i="55"/>
  <c r="P32" i="55"/>
  <c r="J32" i="55"/>
  <c r="M32" i="55"/>
  <c r="N32" i="55"/>
  <c r="K32" i="55"/>
  <c r="R32" i="55"/>
  <c r="O32" i="55"/>
  <c r="H32" i="55"/>
  <c r="I32" i="55"/>
  <c r="L32" i="55"/>
  <c r="Q32" i="55"/>
  <c r="G32" i="57"/>
  <c r="I32" i="57"/>
  <c r="L32" i="57"/>
  <c r="M32" i="57"/>
  <c r="P32" i="57"/>
  <c r="Q32" i="57"/>
  <c r="J32" i="57"/>
  <c r="K32" i="57"/>
  <c r="N32" i="57"/>
  <c r="O32" i="57"/>
  <c r="R32" i="57"/>
  <c r="H32" i="57"/>
  <c r="Q20" i="58"/>
  <c r="I18" i="58"/>
  <c r="I27" i="58"/>
  <c r="Q19" i="58"/>
  <c r="Q16" i="58"/>
  <c r="I26" i="58"/>
  <c r="I16" i="58"/>
  <c r="I20" i="58"/>
  <c r="I25" i="58"/>
  <c r="I19" i="58"/>
  <c r="Q25" i="58"/>
  <c r="Q24" i="58"/>
  <c r="Q21" i="58"/>
  <c r="Q23" i="58"/>
  <c r="Q22" i="58"/>
  <c r="Q17" i="58"/>
  <c r="H21" i="58"/>
  <c r="Q18" i="58"/>
  <c r="Q27" i="58"/>
  <c r="I17" i="58"/>
  <c r="I21" i="58"/>
  <c r="I24" i="58"/>
  <c r="O24" i="58"/>
  <c r="P21" i="58"/>
  <c r="P26" i="58"/>
  <c r="H26" i="58"/>
  <c r="G18" i="58"/>
  <c r="G25" i="58"/>
  <c r="H16" i="58"/>
  <c r="M27" i="58"/>
  <c r="P16" i="58"/>
  <c r="P23" i="58"/>
  <c r="P24" i="58"/>
  <c r="P18" i="58"/>
  <c r="G30" i="57"/>
  <c r="G36" i="63" s="1"/>
  <c r="M19" i="58"/>
  <c r="M16" i="58"/>
  <c r="P25" i="58"/>
  <c r="P17" i="58"/>
  <c r="P19" i="58"/>
  <c r="N30" i="57"/>
  <c r="K25" i="58"/>
  <c r="P20" i="58"/>
  <c r="P22" i="58"/>
  <c r="Q30" i="58"/>
  <c r="I30" i="58"/>
  <c r="O30" i="58"/>
  <c r="H30" i="58"/>
  <c r="M20" i="58"/>
  <c r="M21" i="58"/>
  <c r="G30" i="58"/>
  <c r="G35" i="63" s="1"/>
  <c r="M23" i="58"/>
  <c r="L30" i="57"/>
  <c r="J30" i="57"/>
  <c r="K30" i="57"/>
  <c r="O30" i="57"/>
  <c r="Q30" i="57"/>
  <c r="H30" i="57"/>
  <c r="R30" i="57"/>
  <c r="M22" i="58"/>
  <c r="P30" i="57"/>
  <c r="I30" i="57"/>
  <c r="M26" i="58"/>
  <c r="M18" i="58"/>
  <c r="M24" i="58"/>
  <c r="M17" i="58"/>
  <c r="H19" i="58"/>
  <c r="H20" i="58"/>
  <c r="H25" i="58"/>
  <c r="J18" i="58"/>
  <c r="G21" i="58"/>
  <c r="H23" i="58"/>
  <c r="H24" i="58"/>
  <c r="H18" i="58"/>
  <c r="J20" i="58"/>
  <c r="G17" i="58"/>
  <c r="G16" i="58"/>
  <c r="G20" i="58"/>
  <c r="H27" i="58"/>
  <c r="H17" i="58"/>
  <c r="J25" i="58"/>
  <c r="G23" i="58"/>
  <c r="G27" i="58"/>
  <c r="O20" i="58"/>
  <c r="O16" i="58"/>
  <c r="K24" i="58"/>
  <c r="R18" i="58"/>
  <c r="R17" i="58"/>
  <c r="R27" i="58"/>
  <c r="R26" i="58"/>
  <c r="R21" i="58"/>
  <c r="O22" i="58"/>
  <c r="O18" i="58"/>
  <c r="O23" i="58"/>
  <c r="O19" i="58"/>
  <c r="N26" i="58"/>
  <c r="R20" i="58"/>
  <c r="R23" i="58"/>
  <c r="K19" i="58"/>
  <c r="O27" i="58"/>
  <c r="O21" i="58"/>
  <c r="O25" i="58"/>
  <c r="N16" i="58"/>
  <c r="R16" i="58"/>
  <c r="R25" i="58"/>
  <c r="O17" i="58"/>
  <c r="K26" i="58"/>
  <c r="J22" i="58"/>
  <c r="J24" i="58"/>
  <c r="J19" i="58"/>
  <c r="J26" i="58"/>
  <c r="J17" i="58"/>
  <c r="J23" i="58"/>
  <c r="J16" i="58"/>
  <c r="J21" i="58"/>
  <c r="R22" i="58"/>
  <c r="R24" i="58"/>
  <c r="G24" i="58"/>
  <c r="G22" i="58"/>
  <c r="G19" i="58"/>
  <c r="N21" i="58"/>
  <c r="K21" i="58"/>
  <c r="K16" i="58"/>
  <c r="K18" i="58"/>
  <c r="K27" i="58"/>
  <c r="K17" i="58"/>
  <c r="K30" i="58"/>
  <c r="N23" i="58"/>
  <c r="N24" i="58"/>
  <c r="N18" i="58"/>
  <c r="N27" i="58"/>
  <c r="N17" i="58"/>
  <c r="N22" i="58"/>
  <c r="N19" i="58"/>
  <c r="N20" i="58"/>
  <c r="K20" i="58"/>
  <c r="K23" i="58"/>
  <c r="M30" i="58"/>
  <c r="P30" i="58"/>
  <c r="N30" i="58"/>
  <c r="R30" i="58"/>
  <c r="J30" i="58"/>
  <c r="Q19" i="59"/>
  <c r="X19" i="59" s="1"/>
  <c r="R17" i="59"/>
  <c r="X17" i="59" s="1"/>
  <c r="R16" i="55" a="1"/>
  <c r="AA16" i="59"/>
  <c r="A1" i="56"/>
  <c r="S6" i="56" s="1"/>
  <c r="R36" i="63" l="1"/>
  <c r="P35" i="63"/>
  <c r="P36" i="63"/>
  <c r="R35" i="63"/>
  <c r="Q36" i="63"/>
  <c r="Q35" i="63"/>
  <c r="O36" i="63"/>
  <c r="O35" i="63"/>
  <c r="N35" i="63"/>
  <c r="N36" i="63"/>
  <c r="M35" i="63"/>
  <c r="M36" i="63"/>
  <c r="F22" i="55"/>
  <c r="O19" i="57"/>
  <c r="Q22" i="57"/>
  <c r="F30" i="55"/>
  <c r="F20" i="55"/>
  <c r="L36" i="63"/>
  <c r="L35" i="63"/>
  <c r="M26" i="55"/>
  <c r="H26" i="55"/>
  <c r="F24" i="55"/>
  <c r="F23" i="55"/>
  <c r="N24" i="55"/>
  <c r="F21" i="55"/>
  <c r="F18" i="55"/>
  <c r="F17" i="55"/>
  <c r="E9" i="63"/>
  <c r="F19" i="55"/>
  <c r="F25" i="55"/>
  <c r="O21" i="57"/>
  <c r="O22" i="57"/>
  <c r="O27" i="57"/>
  <c r="Q17" i="57"/>
  <c r="Q23" i="57"/>
  <c r="O18" i="57"/>
  <c r="O23" i="57"/>
  <c r="P18" i="57"/>
  <c r="Q18" i="57"/>
  <c r="Q21" i="57"/>
  <c r="Q20" i="57"/>
  <c r="P19" i="57"/>
  <c r="Q27" i="57"/>
  <c r="Q24" i="57"/>
  <c r="Q16" i="57"/>
  <c r="Q26" i="57"/>
  <c r="P20" i="57"/>
  <c r="Q19" i="57"/>
  <c r="P21" i="57"/>
  <c r="N16" i="57"/>
  <c r="M27" i="57"/>
  <c r="M19" i="57"/>
  <c r="M21" i="57"/>
  <c r="O25" i="57"/>
  <c r="O26" i="57"/>
  <c r="O16" i="57"/>
  <c r="M24" i="57"/>
  <c r="O20" i="57"/>
  <c r="O17" i="57"/>
  <c r="M23" i="57"/>
  <c r="P16" i="57"/>
  <c r="P17" i="57"/>
  <c r="P25" i="57"/>
  <c r="P26" i="57"/>
  <c r="P27" i="57"/>
  <c r="P23" i="57"/>
  <c r="P24" i="57"/>
  <c r="L22" i="57"/>
  <c r="L20" i="57"/>
  <c r="S20" i="57"/>
  <c r="S21" i="57"/>
  <c r="L17" i="57"/>
  <c r="L23" i="57"/>
  <c r="S19" i="57"/>
  <c r="S25" i="57"/>
  <c r="S27" i="57"/>
  <c r="L16" i="57"/>
  <c r="S22" i="57"/>
  <c r="S18" i="57"/>
  <c r="S16" i="57"/>
  <c r="S26" i="57"/>
  <c r="L24" i="57"/>
  <c r="L21" i="57"/>
  <c r="S17" i="57"/>
  <c r="S24" i="57"/>
  <c r="T24" i="57" s="1"/>
  <c r="L27" i="57"/>
  <c r="K23" i="57"/>
  <c r="G21" i="57"/>
  <c r="G18" i="57"/>
  <c r="M26" i="57"/>
  <c r="H22" i="57"/>
  <c r="M20" i="57"/>
  <c r="M22" i="57"/>
  <c r="I24" i="57"/>
  <c r="N26" i="57"/>
  <c r="L19" i="57"/>
  <c r="L26" i="57"/>
  <c r="L18" i="57"/>
  <c r="N27" i="57"/>
  <c r="N19" i="57"/>
  <c r="N25" i="57"/>
  <c r="N23" i="57"/>
  <c r="N20" i="57"/>
  <c r="I20" i="57"/>
  <c r="I16" i="57"/>
  <c r="I27" i="57"/>
  <c r="I25" i="57"/>
  <c r="N21" i="57"/>
  <c r="N24" i="57"/>
  <c r="I21" i="57"/>
  <c r="I17" i="57"/>
  <c r="I23" i="57"/>
  <c r="L22" i="55"/>
  <c r="N22" i="57"/>
  <c r="N18" i="57"/>
  <c r="I19" i="57"/>
  <c r="I26" i="57"/>
  <c r="I22" i="57"/>
  <c r="R23" i="57"/>
  <c r="H16" i="57"/>
  <c r="M16" i="57"/>
  <c r="M18" i="57"/>
  <c r="R19" i="57"/>
  <c r="M17" i="57"/>
  <c r="K20" i="57"/>
  <c r="K27" i="57"/>
  <c r="R27" i="57"/>
  <c r="R25" i="57"/>
  <c r="R20" i="57"/>
  <c r="H18" i="57"/>
  <c r="H36" i="63"/>
  <c r="G17" i="57"/>
  <c r="G24" i="57"/>
  <c r="H23" i="57"/>
  <c r="H26" i="57"/>
  <c r="G26" i="57"/>
  <c r="G19" i="57"/>
  <c r="H19" i="57"/>
  <c r="G20" i="57"/>
  <c r="G16" i="57"/>
  <c r="G25" i="57"/>
  <c r="G27" i="57"/>
  <c r="H24" i="57"/>
  <c r="H17" i="57"/>
  <c r="H21" i="57"/>
  <c r="G23" i="57"/>
  <c r="H25" i="57"/>
  <c r="H20" i="57"/>
  <c r="J35" i="63"/>
  <c r="K35" i="63"/>
  <c r="J26" i="57"/>
  <c r="J27" i="57"/>
  <c r="J24" i="57"/>
  <c r="J20" i="57"/>
  <c r="J16" i="57"/>
  <c r="J17" i="57"/>
  <c r="J18" i="57"/>
  <c r="J21" i="57"/>
  <c r="J22" i="57"/>
  <c r="J23" i="57"/>
  <c r="J25" i="57"/>
  <c r="R22" i="57"/>
  <c r="R18" i="57"/>
  <c r="K26" i="57"/>
  <c r="K22" i="57"/>
  <c r="K18" i="57"/>
  <c r="K19" i="57"/>
  <c r="R26" i="57"/>
  <c r="R17" i="57"/>
  <c r="K21" i="57"/>
  <c r="K17" i="57"/>
  <c r="K24" i="57"/>
  <c r="R16" i="57"/>
  <c r="R21" i="57"/>
  <c r="K25" i="57"/>
  <c r="H35" i="63"/>
  <c r="K36" i="63"/>
  <c r="J36" i="63"/>
  <c r="I36" i="63"/>
  <c r="I35" i="63"/>
  <c r="Q24" i="55"/>
  <c r="K16" i="55"/>
  <c r="K17" i="55"/>
  <c r="K23" i="55"/>
  <c r="Q23" i="55"/>
  <c r="Q17" i="55"/>
  <c r="K24" i="55"/>
  <c r="K20" i="55"/>
  <c r="K21" i="55"/>
  <c r="M25" i="55"/>
  <c r="P22" i="55"/>
  <c r="P23" i="55"/>
  <c r="P19" i="55"/>
  <c r="H23" i="55"/>
  <c r="G24" i="55"/>
  <c r="M18" i="55"/>
  <c r="M16" i="55"/>
  <c r="P24" i="55"/>
  <c r="P25" i="55"/>
  <c r="M19" i="55"/>
  <c r="M23" i="55"/>
  <c r="M17" i="55"/>
  <c r="P26" i="55"/>
  <c r="P16" i="55"/>
  <c r="P27" i="55"/>
  <c r="M27" i="55"/>
  <c r="H27" i="55"/>
  <c r="H18" i="55"/>
  <c r="P21" i="55"/>
  <c r="P17" i="55"/>
  <c r="P20" i="55"/>
  <c r="H24" i="55"/>
  <c r="I17" i="55"/>
  <c r="M21" i="55"/>
  <c r="M24" i="55"/>
  <c r="H20" i="55"/>
  <c r="H17" i="55"/>
  <c r="M22" i="55"/>
  <c r="H16" i="55"/>
  <c r="H25" i="55"/>
  <c r="H19" i="55"/>
  <c r="H22" i="55"/>
  <c r="O16" i="55"/>
  <c r="N22" i="55"/>
  <c r="Q20" i="55"/>
  <c r="Q19" i="55"/>
  <c r="J24" i="55"/>
  <c r="Q22" i="55"/>
  <c r="Q27" i="55"/>
  <c r="Q21" i="55"/>
  <c r="Q25" i="55"/>
  <c r="K26" i="55"/>
  <c r="K22" i="55"/>
  <c r="J26" i="55"/>
  <c r="J23" i="55"/>
  <c r="J21" i="55"/>
  <c r="J27" i="55"/>
  <c r="J18" i="55"/>
  <c r="J22" i="55"/>
  <c r="J19" i="55"/>
  <c r="Q18" i="55"/>
  <c r="J16" i="55"/>
  <c r="Q16" i="55"/>
  <c r="K19" i="55"/>
  <c r="K18" i="55"/>
  <c r="J17" i="55"/>
  <c r="J20" i="55"/>
  <c r="K25" i="55"/>
  <c r="I24" i="55"/>
  <c r="L25" i="55"/>
  <c r="L27" i="55"/>
  <c r="L23" i="55"/>
  <c r="I23" i="55"/>
  <c r="I19" i="55"/>
  <c r="L16" i="55"/>
  <c r="I22" i="55"/>
  <c r="I26" i="55"/>
  <c r="L20" i="55"/>
  <c r="L21" i="55"/>
  <c r="L18" i="55"/>
  <c r="I25" i="55"/>
  <c r="N26" i="55"/>
  <c r="G20" i="55"/>
  <c r="O23" i="55"/>
  <c r="I16" i="55"/>
  <c r="I27" i="55"/>
  <c r="L19" i="55"/>
  <c r="L26" i="55"/>
  <c r="I20" i="55"/>
  <c r="L24" i="55"/>
  <c r="I18" i="55"/>
  <c r="G26" i="55"/>
  <c r="N21" i="55"/>
  <c r="N25" i="55"/>
  <c r="G21" i="55"/>
  <c r="G23" i="55"/>
  <c r="G19" i="55"/>
  <c r="O26" i="55"/>
  <c r="O22" i="55"/>
  <c r="N16" i="55"/>
  <c r="N23" i="55"/>
  <c r="O20" i="55"/>
  <c r="G16" i="55"/>
  <c r="G27" i="55"/>
  <c r="G18" i="55"/>
  <c r="O25" i="55"/>
  <c r="O19" i="55"/>
  <c r="N27" i="55"/>
  <c r="N17" i="55"/>
  <c r="N18" i="55"/>
  <c r="N20" i="55"/>
  <c r="O21" i="55"/>
  <c r="O24" i="55"/>
  <c r="G17" i="55"/>
  <c r="G25" i="55"/>
  <c r="O17" i="55"/>
  <c r="O27" i="55"/>
  <c r="S16" i="55" a="1"/>
  <c r="G30" i="55" a="1"/>
  <c r="S17" i="59"/>
  <c r="T17" i="59" s="1"/>
  <c r="H30" i="59"/>
  <c r="H37" i="63" s="1"/>
  <c r="S19" i="59"/>
  <c r="J30" i="59"/>
  <c r="J37" i="63" s="1"/>
  <c r="R19" i="55"/>
  <c r="R21" i="55"/>
  <c r="R22" i="55"/>
  <c r="R25" i="55"/>
  <c r="R27" i="55"/>
  <c r="R24" i="55"/>
  <c r="R16" i="55"/>
  <c r="R17" i="55"/>
  <c r="R18" i="55"/>
  <c r="R20" i="55"/>
  <c r="R26" i="55"/>
  <c r="R23" i="55"/>
  <c r="T27" i="58"/>
  <c r="T19" i="58"/>
  <c r="T23" i="57"/>
  <c r="T17" i="58"/>
  <c r="T24" i="58"/>
  <c r="T26" i="58"/>
  <c r="T23" i="59"/>
  <c r="T25" i="59"/>
  <c r="T26" i="59"/>
  <c r="T24" i="59"/>
  <c r="T27" i="59"/>
  <c r="T18" i="58"/>
  <c r="T21" i="59"/>
  <c r="T22" i="59"/>
  <c r="T20" i="58"/>
  <c r="T21" i="58"/>
  <c r="T22" i="58"/>
  <c r="T23" i="58"/>
  <c r="T25" i="58"/>
  <c r="J8" i="1"/>
  <c r="T26" i="57" l="1"/>
  <c r="T21" i="57"/>
  <c r="T27" i="57"/>
  <c r="T25" i="57"/>
  <c r="T22" i="57"/>
  <c r="T19" i="57"/>
  <c r="T17" i="57"/>
  <c r="T20" i="57"/>
  <c r="T18" i="57"/>
  <c r="T19" i="59"/>
  <c r="T18" i="59"/>
  <c r="T20" i="59"/>
  <c r="N30" i="55"/>
  <c r="H30" i="55"/>
  <c r="P30" i="55"/>
  <c r="Q30" i="55"/>
  <c r="J30" i="55"/>
  <c r="I30" i="55"/>
  <c r="L30" i="55"/>
  <c r="G30" i="55"/>
  <c r="G34" i="63" s="1"/>
  <c r="K30" i="55"/>
  <c r="M30" i="55"/>
  <c r="O30" i="55"/>
  <c r="R30" i="55"/>
  <c r="S25" i="55"/>
  <c r="S16" i="55"/>
  <c r="S17" i="55"/>
  <c r="S20" i="55"/>
  <c r="S22" i="55"/>
  <c r="S27" i="55"/>
  <c r="S26" i="55"/>
  <c r="S23" i="55"/>
  <c r="S24" i="55"/>
  <c r="S19" i="55"/>
  <c r="S21" i="55"/>
  <c r="S18" i="55"/>
  <c r="J11" i="1"/>
  <c r="J10" i="1"/>
  <c r="J9" i="1"/>
  <c r="R34" i="63" l="1"/>
  <c r="P34" i="63"/>
  <c r="Q34" i="63"/>
  <c r="O34" i="63"/>
  <c r="N34" i="63"/>
  <c r="M34" i="63"/>
  <c r="L34" i="63"/>
  <c r="I34" i="63"/>
  <c r="H34" i="63"/>
  <c r="K34" i="63"/>
  <c r="J34" i="63"/>
  <c r="E12" i="59"/>
  <c r="E10" i="59"/>
  <c r="E11" i="59"/>
  <c r="E11" i="57"/>
  <c r="E11" i="58"/>
  <c r="E10" i="57"/>
  <c r="E10" i="58"/>
  <c r="E12" i="57"/>
  <c r="E12" i="58"/>
  <c r="E11" i="55"/>
  <c r="E11" i="56"/>
  <c r="E10" i="55"/>
  <c r="E10" i="56"/>
  <c r="E12" i="55"/>
  <c r="E12" i="56"/>
  <c r="D15" i="1" l="1"/>
  <c r="G31" i="57" l="1" a="1"/>
  <c r="J49" i="1"/>
  <c r="G31" i="58" l="1" a="1"/>
  <c r="H31" i="57"/>
  <c r="Q31" i="57"/>
  <c r="O31" i="57"/>
  <c r="K31" i="57"/>
  <c r="G31" i="57"/>
  <c r="I31" i="57"/>
  <c r="R31" i="57"/>
  <c r="L31" i="57"/>
  <c r="J31" i="57"/>
  <c r="M31" i="57"/>
  <c r="N31" i="57"/>
  <c r="P31" i="57"/>
  <c r="J32" i="59"/>
  <c r="I32" i="59"/>
  <c r="B20" i="1"/>
  <c r="B21" i="1" s="1"/>
  <c r="B22" i="1" s="1"/>
  <c r="B23" i="1" s="1"/>
  <c r="B24" i="1" s="1"/>
  <c r="B25" i="1" s="1"/>
  <c r="B26" i="1" s="1"/>
  <c r="B27" i="1" s="1"/>
  <c r="B28" i="1" s="1"/>
  <c r="B29" i="1" s="1"/>
  <c r="B30" i="1" s="1"/>
  <c r="H31" i="58" l="1"/>
  <c r="P31" i="58"/>
  <c r="I31" i="58"/>
  <c r="R31" i="58"/>
  <c r="K31" i="58"/>
  <c r="Q31" i="58"/>
  <c r="M31" i="58"/>
  <c r="N31" i="58"/>
  <c r="L31" i="58"/>
  <c r="J31" i="58"/>
  <c r="O31" i="58"/>
  <c r="G31" i="58"/>
  <c r="J6" i="1"/>
  <c r="X38" i="73" s="1"/>
  <c r="J5" i="1"/>
  <c r="E38" i="73" l="1"/>
  <c r="E38" i="68"/>
  <c r="E37" i="71"/>
  <c r="E37" i="72"/>
  <c r="X37" i="71"/>
  <c r="X37" i="72"/>
  <c r="E38" i="69"/>
  <c r="X38" i="68"/>
  <c r="X38" i="69"/>
  <c r="G31" i="55" a="1"/>
  <c r="X38" i="66"/>
  <c r="X38" i="67"/>
  <c r="E38" i="66"/>
  <c r="E38" i="67"/>
  <c r="D5" i="65"/>
  <c r="D6" i="65"/>
  <c r="E38" i="63"/>
  <c r="X38" i="63"/>
  <c r="E38" i="61"/>
  <c r="X38" i="61"/>
  <c r="X38" i="59"/>
  <c r="X37" i="60"/>
  <c r="E38" i="59"/>
  <c r="E37" i="60"/>
  <c r="E38" i="57"/>
  <c r="E38" i="58"/>
  <c r="X38" i="57"/>
  <c r="X38" i="58"/>
  <c r="X38" i="55"/>
  <c r="X36" i="56"/>
  <c r="E38" i="55"/>
  <c r="E36" i="56"/>
  <c r="I921" i="65" l="1"/>
  <c r="M922" i="65"/>
  <c r="Q923" i="65"/>
  <c r="I925" i="65"/>
  <c r="M926" i="65"/>
  <c r="Q927" i="65"/>
  <c r="I929" i="65"/>
  <c r="M930" i="65"/>
  <c r="Q931" i="65"/>
  <c r="I933" i="65"/>
  <c r="M934" i="65"/>
  <c r="Q935" i="65"/>
  <c r="I937" i="65"/>
  <c r="M938" i="65"/>
  <c r="Q939" i="65"/>
  <c r="I941" i="65"/>
  <c r="M942" i="65"/>
  <c r="Q943" i="65"/>
  <c r="I945" i="65"/>
  <c r="M946" i="65"/>
  <c r="Q947" i="65"/>
  <c r="I949" i="65"/>
  <c r="J922" i="65"/>
  <c r="N923" i="65"/>
  <c r="R924" i="65"/>
  <c r="J926" i="65"/>
  <c r="N927" i="65"/>
  <c r="R928" i="65"/>
  <c r="J930" i="65"/>
  <c r="N931" i="65"/>
  <c r="R932" i="65"/>
  <c r="J934" i="65"/>
  <c r="N935" i="65"/>
  <c r="R936" i="65"/>
  <c r="J938" i="65"/>
  <c r="N939" i="65"/>
  <c r="R940" i="65"/>
  <c r="J942" i="65"/>
  <c r="N943" i="65"/>
  <c r="R944" i="65"/>
  <c r="J946" i="65"/>
  <c r="N947" i="65"/>
  <c r="L921" i="65"/>
  <c r="P922" i="65"/>
  <c r="T923" i="65"/>
  <c r="L925" i="65"/>
  <c r="P926" i="65"/>
  <c r="T927" i="65"/>
  <c r="L929" i="65"/>
  <c r="P930" i="65"/>
  <c r="T931" i="65"/>
  <c r="L933" i="65"/>
  <c r="P934" i="65"/>
  <c r="T935" i="65"/>
  <c r="L937" i="65"/>
  <c r="P938" i="65"/>
  <c r="T939" i="65"/>
  <c r="L941" i="65"/>
  <c r="P942" i="65"/>
  <c r="T943" i="65"/>
  <c r="L945" i="65"/>
  <c r="P946" i="65"/>
  <c r="T947" i="65"/>
  <c r="K921" i="65"/>
  <c r="O926" i="65"/>
  <c r="S931" i="65"/>
  <c r="K937" i="65"/>
  <c r="O942" i="65"/>
  <c r="S947" i="65"/>
  <c r="I950" i="65"/>
  <c r="M951" i="65"/>
  <c r="Q952" i="65"/>
  <c r="I954" i="65"/>
  <c r="M955" i="65"/>
  <c r="Q956" i="65"/>
  <c r="I958" i="65"/>
  <c r="M959" i="65"/>
  <c r="Q960" i="65"/>
  <c r="I962" i="65"/>
  <c r="M963" i="65"/>
  <c r="Q964" i="65"/>
  <c r="I966" i="65"/>
  <c r="M967" i="65"/>
  <c r="Q968" i="65"/>
  <c r="I970" i="65"/>
  <c r="Q921" i="65"/>
  <c r="I923" i="65"/>
  <c r="M924" i="65"/>
  <c r="Q925" i="65"/>
  <c r="I927" i="65"/>
  <c r="M928" i="65"/>
  <c r="Q929" i="65"/>
  <c r="I931" i="65"/>
  <c r="M932" i="65"/>
  <c r="Q933" i="65"/>
  <c r="I935" i="65"/>
  <c r="M936" i="65"/>
  <c r="Q937" i="65"/>
  <c r="I939" i="65"/>
  <c r="M940" i="65"/>
  <c r="Q941" i="65"/>
  <c r="I943" i="65"/>
  <c r="M944" i="65"/>
  <c r="Q945" i="65"/>
  <c r="I947" i="65"/>
  <c r="M948" i="65"/>
  <c r="N921" i="65"/>
  <c r="R922" i="65"/>
  <c r="J924" i="65"/>
  <c r="N925" i="65"/>
  <c r="R926" i="65"/>
  <c r="J928" i="65"/>
  <c r="N929" i="65"/>
  <c r="R930" i="65"/>
  <c r="J932" i="65"/>
  <c r="N933" i="65"/>
  <c r="R934" i="65"/>
  <c r="J936" i="65"/>
  <c r="N937" i="65"/>
  <c r="R938" i="65"/>
  <c r="J940" i="65"/>
  <c r="N941" i="65"/>
  <c r="R942" i="65"/>
  <c r="J944" i="65"/>
  <c r="N945" i="65"/>
  <c r="R946" i="65"/>
  <c r="J948" i="65"/>
  <c r="T921" i="65"/>
  <c r="L923" i="65"/>
  <c r="P924" i="65"/>
  <c r="T925" i="65"/>
  <c r="L927" i="65"/>
  <c r="P928" i="65"/>
  <c r="T929" i="65"/>
  <c r="L931" i="65"/>
  <c r="P932" i="65"/>
  <c r="T933" i="65"/>
  <c r="L935" i="65"/>
  <c r="P936" i="65"/>
  <c r="T937" i="65"/>
  <c r="L939" i="65"/>
  <c r="P940" i="65"/>
  <c r="T941" i="65"/>
  <c r="L943" i="65"/>
  <c r="P944" i="65"/>
  <c r="T945" i="65"/>
  <c r="L947" i="65"/>
  <c r="P948" i="65"/>
  <c r="S923" i="65"/>
  <c r="K929" i="65"/>
  <c r="O934" i="65"/>
  <c r="S939" i="65"/>
  <c r="K945" i="65"/>
  <c r="M949" i="65"/>
  <c r="Q950" i="65"/>
  <c r="I952" i="65"/>
  <c r="M953" i="65"/>
  <c r="Q954" i="65"/>
  <c r="I956" i="65"/>
  <c r="M957" i="65"/>
  <c r="Q958" i="65"/>
  <c r="I960" i="65"/>
  <c r="M961" i="65"/>
  <c r="Q962" i="65"/>
  <c r="I964" i="65"/>
  <c r="M965" i="65"/>
  <c r="Q966" i="65"/>
  <c r="I968" i="65"/>
  <c r="M969" i="65"/>
  <c r="Q970" i="65"/>
  <c r="M921" i="65"/>
  <c r="I924" i="65"/>
  <c r="Q926" i="65"/>
  <c r="M929" i="65"/>
  <c r="I932" i="65"/>
  <c r="Q934" i="65"/>
  <c r="M937" i="65"/>
  <c r="I940" i="65"/>
  <c r="Q942" i="65"/>
  <c r="M945" i="65"/>
  <c r="I948" i="65"/>
  <c r="N922" i="65"/>
  <c r="J925" i="65"/>
  <c r="R927" i="65"/>
  <c r="N930" i="65"/>
  <c r="J933" i="65"/>
  <c r="R935" i="65"/>
  <c r="N938" i="65"/>
  <c r="J941" i="65"/>
  <c r="R943" i="65"/>
  <c r="N946" i="65"/>
  <c r="P921" i="65"/>
  <c r="L924" i="65"/>
  <c r="T926" i="65"/>
  <c r="P929" i="65"/>
  <c r="L932" i="65"/>
  <c r="T934" i="65"/>
  <c r="P937" i="65"/>
  <c r="L940" i="65"/>
  <c r="T942" i="65"/>
  <c r="P945" i="65"/>
  <c r="L948" i="65"/>
  <c r="S927" i="65"/>
  <c r="O938" i="65"/>
  <c r="S948" i="65"/>
  <c r="Q951" i="65"/>
  <c r="M954" i="65"/>
  <c r="I957" i="65"/>
  <c r="Q959" i="65"/>
  <c r="M962" i="65"/>
  <c r="I965" i="65"/>
  <c r="Q967" i="65"/>
  <c r="M970" i="65"/>
  <c r="O925" i="65"/>
  <c r="S930" i="65"/>
  <c r="K936" i="65"/>
  <c r="O941" i="65"/>
  <c r="S946" i="65"/>
  <c r="R949" i="65"/>
  <c r="J951" i="65"/>
  <c r="N952" i="65"/>
  <c r="R953" i="65"/>
  <c r="J955" i="65"/>
  <c r="N956" i="65"/>
  <c r="R957" i="65"/>
  <c r="J959" i="65"/>
  <c r="N960" i="65"/>
  <c r="R961" i="65"/>
  <c r="J963" i="65"/>
  <c r="N964" i="65"/>
  <c r="R965" i="65"/>
  <c r="J967" i="65"/>
  <c r="N968" i="65"/>
  <c r="R969" i="65"/>
  <c r="O924" i="65"/>
  <c r="S929" i="65"/>
  <c r="K935" i="65"/>
  <c r="O940" i="65"/>
  <c r="S945" i="65"/>
  <c r="O949" i="65"/>
  <c r="S950" i="65"/>
  <c r="K952" i="65"/>
  <c r="O953" i="65"/>
  <c r="S954" i="65"/>
  <c r="K956" i="65"/>
  <c r="K922" i="65"/>
  <c r="O927" i="65"/>
  <c r="S932" i="65"/>
  <c r="K938" i="65"/>
  <c r="O943" i="65"/>
  <c r="R948" i="65"/>
  <c r="L950" i="65"/>
  <c r="P951" i="65"/>
  <c r="T952" i="65"/>
  <c r="L954" i="65"/>
  <c r="Q922" i="65"/>
  <c r="M925" i="65"/>
  <c r="I928" i="65"/>
  <c r="Q930" i="65"/>
  <c r="M933" i="65"/>
  <c r="I936" i="65"/>
  <c r="Q938" i="65"/>
  <c r="M941" i="65"/>
  <c r="I944" i="65"/>
  <c r="Q946" i="65"/>
  <c r="J921" i="65"/>
  <c r="R923" i="65"/>
  <c r="N926" i="65"/>
  <c r="J929" i="65"/>
  <c r="R931" i="65"/>
  <c r="N934" i="65"/>
  <c r="J937" i="65"/>
  <c r="R939" i="65"/>
  <c r="N942" i="65"/>
  <c r="J945" i="65"/>
  <c r="R947" i="65"/>
  <c r="T922" i="65"/>
  <c r="P925" i="65"/>
  <c r="L928" i="65"/>
  <c r="T930" i="65"/>
  <c r="P933" i="65"/>
  <c r="L936" i="65"/>
  <c r="T938" i="65"/>
  <c r="P941" i="65"/>
  <c r="L944" i="65"/>
  <c r="T946" i="65"/>
  <c r="O922" i="65"/>
  <c r="K933" i="65"/>
  <c r="S943" i="65"/>
  <c r="M950" i="65"/>
  <c r="I953" i="65"/>
  <c r="Q955" i="65"/>
  <c r="M958" i="65"/>
  <c r="I961" i="65"/>
  <c r="Q963" i="65"/>
  <c r="M966" i="65"/>
  <c r="I969" i="65"/>
  <c r="S922" i="65"/>
  <c r="K928" i="65"/>
  <c r="O933" i="65"/>
  <c r="S938" i="65"/>
  <c r="K944" i="65"/>
  <c r="J949" i="65"/>
  <c r="N950" i="65"/>
  <c r="R951" i="65"/>
  <c r="J953" i="65"/>
  <c r="N954" i="65"/>
  <c r="R955" i="65"/>
  <c r="J957" i="65"/>
  <c r="N958" i="65"/>
  <c r="R959" i="65"/>
  <c r="J961" i="65"/>
  <c r="N962" i="65"/>
  <c r="R963" i="65"/>
  <c r="J965" i="65"/>
  <c r="N966" i="65"/>
  <c r="R967" i="65"/>
  <c r="J969" i="65"/>
  <c r="S921" i="65"/>
  <c r="K927" i="65"/>
  <c r="O932" i="65"/>
  <c r="S937" i="65"/>
  <c r="K943" i="65"/>
  <c r="O948" i="65"/>
  <c r="K950" i="65"/>
  <c r="O951" i="65"/>
  <c r="S952" i="65"/>
  <c r="K954" i="65"/>
  <c r="O955" i="65"/>
  <c r="S956" i="65"/>
  <c r="S924" i="65"/>
  <c r="K930" i="65"/>
  <c r="O935" i="65"/>
  <c r="S940" i="65"/>
  <c r="K946" i="65"/>
  <c r="P949" i="65"/>
  <c r="T950" i="65"/>
  <c r="L952" i="65"/>
  <c r="P953" i="65"/>
  <c r="T954" i="65"/>
  <c r="L956" i="65"/>
  <c r="I922" i="65"/>
  <c r="M927" i="65"/>
  <c r="Q932" i="65"/>
  <c r="I938" i="65"/>
  <c r="M943" i="65"/>
  <c r="Q948" i="65"/>
  <c r="R925" i="65"/>
  <c r="J931" i="65"/>
  <c r="N936" i="65"/>
  <c r="R941" i="65"/>
  <c r="J947" i="65"/>
  <c r="T924" i="65"/>
  <c r="L930" i="65"/>
  <c r="P935" i="65"/>
  <c r="T940" i="65"/>
  <c r="L946" i="65"/>
  <c r="O930" i="65"/>
  <c r="Q949" i="65"/>
  <c r="I955" i="65"/>
  <c r="M960" i="65"/>
  <c r="Q965" i="65"/>
  <c r="O921" i="65"/>
  <c r="K932" i="65"/>
  <c r="S942" i="65"/>
  <c r="J950" i="65"/>
  <c r="R952" i="65"/>
  <c r="N955" i="65"/>
  <c r="J958" i="65"/>
  <c r="R960" i="65"/>
  <c r="N963" i="65"/>
  <c r="J966" i="65"/>
  <c r="R968" i="65"/>
  <c r="S925" i="65"/>
  <c r="O936" i="65"/>
  <c r="K947" i="65"/>
  <c r="K951" i="65"/>
  <c r="S953" i="65"/>
  <c r="O956" i="65"/>
  <c r="S928" i="65"/>
  <c r="O939" i="65"/>
  <c r="L949" i="65"/>
  <c r="T951" i="65"/>
  <c r="P954" i="65"/>
  <c r="P956" i="65"/>
  <c r="T957" i="65"/>
  <c r="L959" i="65"/>
  <c r="P960" i="65"/>
  <c r="T961" i="65"/>
  <c r="L963" i="65"/>
  <c r="P964" i="65"/>
  <c r="T965" i="65"/>
  <c r="L967" i="65"/>
  <c r="P968" i="65"/>
  <c r="T969" i="65"/>
  <c r="K960" i="65"/>
  <c r="O965" i="65"/>
  <c r="O970" i="65"/>
  <c r="T971" i="65"/>
  <c r="L973" i="65"/>
  <c r="P974" i="65"/>
  <c r="T975" i="65"/>
  <c r="L977" i="65"/>
  <c r="P978" i="65"/>
  <c r="T979" i="65"/>
  <c r="L981" i="65"/>
  <c r="P982" i="65"/>
  <c r="T983" i="65"/>
  <c r="Q13" i="56" s="1"/>
  <c r="L985" i="65"/>
  <c r="P986" i="65"/>
  <c r="T987" i="65"/>
  <c r="P16" i="56" s="1"/>
  <c r="L989" i="65"/>
  <c r="P990" i="65"/>
  <c r="T991" i="65"/>
  <c r="S957" i="65"/>
  <c r="K963" i="65"/>
  <c r="O968" i="65"/>
  <c r="M971" i="65"/>
  <c r="Q972" i="65"/>
  <c r="I974" i="65"/>
  <c r="M975" i="65"/>
  <c r="Q976" i="65"/>
  <c r="I978" i="65"/>
  <c r="M979" i="65"/>
  <c r="Q980" i="65"/>
  <c r="I982" i="65"/>
  <c r="M983" i="65"/>
  <c r="Q984" i="65"/>
  <c r="I986" i="65"/>
  <c r="M987" i="65"/>
  <c r="Q988" i="65"/>
  <c r="I990" i="65"/>
  <c r="M991" i="65"/>
  <c r="Q992" i="65"/>
  <c r="S960" i="65"/>
  <c r="K966" i="65"/>
  <c r="R970" i="65"/>
  <c r="J972" i="65"/>
  <c r="N973" i="65"/>
  <c r="R974" i="65"/>
  <c r="J976" i="65"/>
  <c r="N977" i="65"/>
  <c r="R978" i="65"/>
  <c r="J980" i="65"/>
  <c r="N981" i="65"/>
  <c r="R982" i="65"/>
  <c r="J984" i="65"/>
  <c r="N985" i="65"/>
  <c r="R986" i="65"/>
  <c r="J988" i="65"/>
  <c r="N989" i="65"/>
  <c r="R990" i="65"/>
  <c r="J992" i="65"/>
  <c r="K961" i="65"/>
  <c r="O966" i="65"/>
  <c r="S970" i="65"/>
  <c r="K972" i="65"/>
  <c r="O973" i="65"/>
  <c r="S974" i="65"/>
  <c r="K976" i="65"/>
  <c r="O977" i="65"/>
  <c r="S978" i="65"/>
  <c r="K980" i="65"/>
  <c r="O981" i="65"/>
  <c r="S982" i="65"/>
  <c r="K984" i="65"/>
  <c r="O985" i="65"/>
  <c r="S986" i="65"/>
  <c r="K988" i="65"/>
  <c r="O989" i="65"/>
  <c r="S990" i="65"/>
  <c r="K992" i="65"/>
  <c r="H988" i="65"/>
  <c r="H972" i="65"/>
  <c r="H956" i="65"/>
  <c r="H940" i="65"/>
  <c r="H924" i="65"/>
  <c r="H979" i="65"/>
  <c r="H963" i="65"/>
  <c r="H947" i="65"/>
  <c r="H931" i="65"/>
  <c r="H986" i="65"/>
  <c r="H970" i="65"/>
  <c r="H954" i="65"/>
  <c r="H938" i="65"/>
  <c r="H922" i="65"/>
  <c r="H977" i="65"/>
  <c r="H961" i="65"/>
  <c r="H945" i="65"/>
  <c r="H929" i="65"/>
  <c r="M923" i="65"/>
  <c r="Q928" i="65"/>
  <c r="I934" i="65"/>
  <c r="M939" i="65"/>
  <c r="Q944" i="65"/>
  <c r="R921" i="65"/>
  <c r="J927" i="65"/>
  <c r="N932" i="65"/>
  <c r="R937" i="65"/>
  <c r="J943" i="65"/>
  <c r="N948" i="65"/>
  <c r="L926" i="65"/>
  <c r="P931" i="65"/>
  <c r="T936" i="65"/>
  <c r="Q924" i="65"/>
  <c r="I930" i="65"/>
  <c r="M935" i="65"/>
  <c r="Q940" i="65"/>
  <c r="I946" i="65"/>
  <c r="J923" i="65"/>
  <c r="N928" i="65"/>
  <c r="R933" i="65"/>
  <c r="J939" i="65"/>
  <c r="N944" i="65"/>
  <c r="L922" i="65"/>
  <c r="P927" i="65"/>
  <c r="T932" i="65"/>
  <c r="L938" i="65"/>
  <c r="P943" i="65"/>
  <c r="T948" i="65"/>
  <c r="K941" i="65"/>
  <c r="M952" i="65"/>
  <c r="Q957" i="65"/>
  <c r="I963" i="65"/>
  <c r="M968" i="65"/>
  <c r="S926" i="65"/>
  <c r="O937" i="65"/>
  <c r="K948" i="65"/>
  <c r="N951" i="65"/>
  <c r="J954" i="65"/>
  <c r="R956" i="65"/>
  <c r="N959" i="65"/>
  <c r="J962" i="65"/>
  <c r="R964" i="65"/>
  <c r="N967" i="65"/>
  <c r="J970" i="65"/>
  <c r="K931" i="65"/>
  <c r="S941" i="65"/>
  <c r="S949" i="65"/>
  <c r="O952" i="65"/>
  <c r="K955" i="65"/>
  <c r="O923" i="65"/>
  <c r="K934" i="65"/>
  <c r="S944" i="65"/>
  <c r="P950" i="65"/>
  <c r="L953" i="65"/>
  <c r="P955" i="65"/>
  <c r="L957" i="65"/>
  <c r="P958" i="65"/>
  <c r="T959" i="65"/>
  <c r="L961" i="65"/>
  <c r="P962" i="65"/>
  <c r="T963" i="65"/>
  <c r="L965" i="65"/>
  <c r="P966" i="65"/>
  <c r="T967" i="65"/>
  <c r="L969" i="65"/>
  <c r="O957" i="65"/>
  <c r="S962" i="65"/>
  <c r="K968" i="65"/>
  <c r="L971" i="65"/>
  <c r="P972" i="65"/>
  <c r="T973" i="65"/>
  <c r="L975" i="65"/>
  <c r="P976" i="65"/>
  <c r="T977" i="65"/>
  <c r="L979" i="65"/>
  <c r="P980" i="65"/>
  <c r="T981" i="65"/>
  <c r="L983" i="65"/>
  <c r="P984" i="65"/>
  <c r="T985" i="65"/>
  <c r="L987" i="65"/>
  <c r="P988" i="65"/>
  <c r="T989" i="65"/>
  <c r="P13" i="56" s="1"/>
  <c r="L991" i="65"/>
  <c r="P992" i="65"/>
  <c r="O960" i="65"/>
  <c r="S965" i="65"/>
  <c r="P970" i="65"/>
  <c r="I972" i="65"/>
  <c r="M973" i="65"/>
  <c r="Q974" i="65"/>
  <c r="I976" i="65"/>
  <c r="M977" i="65"/>
  <c r="Q978" i="65"/>
  <c r="I980" i="65"/>
  <c r="M981" i="65"/>
  <c r="Q982" i="65"/>
  <c r="I984" i="65"/>
  <c r="M985" i="65"/>
  <c r="Q986" i="65"/>
  <c r="I988" i="65"/>
  <c r="M989" i="65"/>
  <c r="Q990" i="65"/>
  <c r="I992" i="65"/>
  <c r="K958" i="65"/>
  <c r="O963" i="65"/>
  <c r="S968" i="65"/>
  <c r="N971" i="65"/>
  <c r="R972" i="65"/>
  <c r="J974" i="65"/>
  <c r="N975" i="65"/>
  <c r="R976" i="65"/>
  <c r="J978" i="65"/>
  <c r="N979" i="65"/>
  <c r="R980" i="65"/>
  <c r="J982" i="65"/>
  <c r="N983" i="65"/>
  <c r="R984" i="65"/>
  <c r="J986" i="65"/>
  <c r="N987" i="65"/>
  <c r="R988" i="65"/>
  <c r="J990" i="65"/>
  <c r="N991" i="65"/>
  <c r="O958" i="65"/>
  <c r="S963" i="65"/>
  <c r="K969" i="65"/>
  <c r="O971" i="65"/>
  <c r="S972" i="65"/>
  <c r="K974" i="65"/>
  <c r="O975" i="65"/>
  <c r="S976" i="65"/>
  <c r="K978" i="65"/>
  <c r="O979" i="65"/>
  <c r="S980" i="65"/>
  <c r="K982" i="65"/>
  <c r="O983" i="65"/>
  <c r="S984" i="65"/>
  <c r="K986" i="65"/>
  <c r="O987" i="65"/>
  <c r="S988" i="65"/>
  <c r="K990" i="65"/>
  <c r="O991" i="65"/>
  <c r="S992" i="65"/>
  <c r="H980" i="65"/>
  <c r="H964" i="65"/>
  <c r="H948" i="65"/>
  <c r="H932" i="65"/>
  <c r="H987" i="65"/>
  <c r="H971" i="65"/>
  <c r="H955" i="65"/>
  <c r="H939" i="65"/>
  <c r="H923" i="65"/>
  <c r="H978" i="65"/>
  <c r="H962" i="65"/>
  <c r="H946" i="65"/>
  <c r="H930" i="65"/>
  <c r="H985" i="65"/>
  <c r="H969" i="65"/>
  <c r="H953" i="65"/>
  <c r="H937" i="65"/>
  <c r="H921" i="65"/>
  <c r="I926" i="65"/>
  <c r="M931" i="65"/>
  <c r="Q936" i="65"/>
  <c r="I942" i="65"/>
  <c r="M947" i="65"/>
  <c r="N924" i="65"/>
  <c r="R929" i="65"/>
  <c r="J935" i="65"/>
  <c r="N940" i="65"/>
  <c r="R945" i="65"/>
  <c r="P923" i="65"/>
  <c r="T928" i="65"/>
  <c r="L934" i="65"/>
  <c r="P939" i="65"/>
  <c r="T944" i="65"/>
  <c r="K925" i="65"/>
  <c r="O946" i="65"/>
  <c r="Q953" i="65"/>
  <c r="I959" i="65"/>
  <c r="M964" i="65"/>
  <c r="Q969" i="65"/>
  <c r="O947" i="65"/>
  <c r="L960" i="65"/>
  <c r="P965" i="65"/>
  <c r="S958" i="65"/>
  <c r="T972" i="65"/>
  <c r="L978" i="65"/>
  <c r="P983" i="65"/>
  <c r="T988" i="65"/>
  <c r="P17" i="56" s="1"/>
  <c r="S961" i="65"/>
  <c r="Q973" i="65"/>
  <c r="Q981" i="65"/>
  <c r="I987" i="65"/>
  <c r="S964" i="65"/>
  <c r="J977" i="65"/>
  <c r="J985" i="65"/>
  <c r="S959" i="65"/>
  <c r="S975" i="65"/>
  <c r="S983" i="65"/>
  <c r="S991" i="65"/>
  <c r="H983" i="65"/>
  <c r="H958" i="65"/>
  <c r="H933" i="65"/>
  <c r="S934" i="65"/>
  <c r="N961" i="65"/>
  <c r="K949" i="65"/>
  <c r="S935" i="65"/>
  <c r="I967" i="65"/>
  <c r="K940" i="65"/>
  <c r="J952" i="65"/>
  <c r="N957" i="65"/>
  <c r="R962" i="65"/>
  <c r="J968" i="65"/>
  <c r="S933" i="65"/>
  <c r="O950" i="65"/>
  <c r="S955" i="65"/>
  <c r="S936" i="65"/>
  <c r="L951" i="65"/>
  <c r="T955" i="65"/>
  <c r="T958" i="65"/>
  <c r="P961" i="65"/>
  <c r="L964" i="65"/>
  <c r="T966" i="65"/>
  <c r="P969" i="65"/>
  <c r="K964" i="65"/>
  <c r="P971" i="65"/>
  <c r="L974" i="65"/>
  <c r="T976" i="65"/>
  <c r="P979" i="65"/>
  <c r="L982" i="65"/>
  <c r="T984" i="65"/>
  <c r="P987" i="65"/>
  <c r="L990" i="65"/>
  <c r="T992" i="65"/>
  <c r="K967" i="65"/>
  <c r="M972" i="65"/>
  <c r="I975" i="65"/>
  <c r="Q977" i="65"/>
  <c r="M980" i="65"/>
  <c r="I983" i="65"/>
  <c r="Q985" i="65"/>
  <c r="M988" i="65"/>
  <c r="I991" i="65"/>
  <c r="O959" i="65"/>
  <c r="K970" i="65"/>
  <c r="J973" i="65"/>
  <c r="R975" i="65"/>
  <c r="N978" i="65"/>
  <c r="J981" i="65"/>
  <c r="R983" i="65"/>
  <c r="N986" i="65"/>
  <c r="J989" i="65"/>
  <c r="R991" i="65"/>
  <c r="K965" i="65"/>
  <c r="S971" i="65"/>
  <c r="O974" i="65"/>
  <c r="K977" i="65"/>
  <c r="S979" i="65"/>
  <c r="O982" i="65"/>
  <c r="K985" i="65"/>
  <c r="S987" i="65"/>
  <c r="O990" i="65"/>
  <c r="H992" i="65"/>
  <c r="H960" i="65"/>
  <c r="H928" i="65"/>
  <c r="H967" i="65"/>
  <c r="H935" i="65"/>
  <c r="H974" i="65"/>
  <c r="H942" i="65"/>
  <c r="H981" i="65"/>
  <c r="H949" i="65"/>
  <c r="O929" i="65"/>
  <c r="R954" i="65"/>
  <c r="N965" i="65"/>
  <c r="O944" i="65"/>
  <c r="K926" i="65"/>
  <c r="T953" i="65"/>
  <c r="P957" i="65"/>
  <c r="T962" i="65"/>
  <c r="L968" i="65"/>
  <c r="O969" i="65"/>
  <c r="P975" i="65"/>
  <c r="T980" i="65"/>
  <c r="L986" i="65"/>
  <c r="P991" i="65"/>
  <c r="I971" i="65"/>
  <c r="I979" i="65"/>
  <c r="M984" i="65"/>
  <c r="M992" i="65"/>
  <c r="N974" i="65"/>
  <c r="N982" i="65"/>
  <c r="N990" i="65"/>
  <c r="K973" i="65"/>
  <c r="K981" i="65"/>
  <c r="K989" i="65"/>
  <c r="H944" i="65"/>
  <c r="H990" i="65"/>
  <c r="H965" i="65"/>
  <c r="Q961" i="65"/>
  <c r="J956" i="65"/>
  <c r="O928" i="65"/>
  <c r="I951" i="65"/>
  <c r="K924" i="65"/>
  <c r="O945" i="65"/>
  <c r="N953" i="65"/>
  <c r="R958" i="65"/>
  <c r="J964" i="65"/>
  <c r="N969" i="65"/>
  <c r="K939" i="65"/>
  <c r="S951" i="65"/>
  <c r="K957" i="65"/>
  <c r="K942" i="65"/>
  <c r="P952" i="65"/>
  <c r="T956" i="65"/>
  <c r="P959" i="65"/>
  <c r="L962" i="65"/>
  <c r="T964" i="65"/>
  <c r="P967" i="65"/>
  <c r="L970" i="65"/>
  <c r="S966" i="65"/>
  <c r="L972" i="65"/>
  <c r="T974" i="65"/>
  <c r="P977" i="65"/>
  <c r="L980" i="65"/>
  <c r="T982" i="65"/>
  <c r="P985" i="65"/>
  <c r="L988" i="65"/>
  <c r="T990" i="65"/>
  <c r="P14" i="56" s="1"/>
  <c r="K959" i="65"/>
  <c r="S969" i="65"/>
  <c r="I973" i="65"/>
  <c r="Q975" i="65"/>
  <c r="M978" i="65"/>
  <c r="I981" i="65"/>
  <c r="Q983" i="65"/>
  <c r="M986" i="65"/>
  <c r="I989" i="65"/>
  <c r="Q991" i="65"/>
  <c r="K962" i="65"/>
  <c r="J971" i="65"/>
  <c r="R973" i="65"/>
  <c r="N976" i="65"/>
  <c r="J979" i="65"/>
  <c r="R981" i="65"/>
  <c r="N984" i="65"/>
  <c r="J987" i="65"/>
  <c r="R989" i="65"/>
  <c r="N992" i="65"/>
  <c r="S967" i="65"/>
  <c r="O972" i="65"/>
  <c r="K975" i="65"/>
  <c r="S977" i="65"/>
  <c r="O980" i="65"/>
  <c r="K983" i="65"/>
  <c r="S985" i="65"/>
  <c r="O988" i="65"/>
  <c r="K991" i="65"/>
  <c r="H984" i="65"/>
  <c r="H952" i="65"/>
  <c r="H991" i="65"/>
  <c r="H959" i="65"/>
  <c r="H927" i="65"/>
  <c r="H966" i="65"/>
  <c r="H934" i="65"/>
  <c r="H973" i="65"/>
  <c r="H941" i="65"/>
  <c r="L942" i="65"/>
  <c r="M956" i="65"/>
  <c r="N949" i="65"/>
  <c r="J960" i="65"/>
  <c r="K923" i="65"/>
  <c r="K953" i="65"/>
  <c r="M976" i="65"/>
  <c r="Q989" i="65"/>
  <c r="R971" i="65"/>
  <c r="R979" i="65"/>
  <c r="R987" i="65"/>
  <c r="N970" i="65"/>
  <c r="O978" i="65"/>
  <c r="O986" i="65"/>
  <c r="H976" i="65"/>
  <c r="H951" i="65"/>
  <c r="H926" i="65"/>
  <c r="P947" i="65"/>
  <c r="R950" i="65"/>
  <c r="R966" i="65"/>
  <c r="T949" i="65"/>
  <c r="P963" i="65"/>
  <c r="T970" i="65"/>
  <c r="P981" i="65"/>
  <c r="L992" i="65"/>
  <c r="I977" i="65"/>
  <c r="Q987" i="65"/>
  <c r="N972" i="65"/>
  <c r="J983" i="65"/>
  <c r="O962" i="65"/>
  <c r="K979" i="65"/>
  <c r="S989" i="65"/>
  <c r="H975" i="65"/>
  <c r="H989" i="65"/>
  <c r="L955" i="65"/>
  <c r="L966" i="65"/>
  <c r="P973" i="65"/>
  <c r="L984" i="65"/>
  <c r="O964" i="65"/>
  <c r="Q979" i="65"/>
  <c r="M990" i="65"/>
  <c r="J975" i="65"/>
  <c r="R985" i="65"/>
  <c r="K971" i="65"/>
  <c r="S981" i="65"/>
  <c r="O992" i="65"/>
  <c r="H943" i="65"/>
  <c r="H957" i="65"/>
  <c r="O954" i="65"/>
  <c r="L958" i="65"/>
  <c r="T968" i="65"/>
  <c r="L976" i="65"/>
  <c r="T986" i="65"/>
  <c r="Q971" i="65"/>
  <c r="M982" i="65"/>
  <c r="R992" i="65"/>
  <c r="R977" i="65"/>
  <c r="N988" i="65"/>
  <c r="S973" i="65"/>
  <c r="O984" i="65"/>
  <c r="H968" i="65"/>
  <c r="H982" i="65"/>
  <c r="H925" i="65"/>
  <c r="O931" i="65"/>
  <c r="T960" i="65"/>
  <c r="O961" i="65"/>
  <c r="T978" i="65"/>
  <c r="P989" i="65"/>
  <c r="M974" i="65"/>
  <c r="I985" i="65"/>
  <c r="O967" i="65"/>
  <c r="N980" i="65"/>
  <c r="J991" i="65"/>
  <c r="O976" i="65"/>
  <c r="K987" i="65"/>
  <c r="H936" i="65"/>
  <c r="H950" i="65"/>
  <c r="G31" i="59" a="1"/>
  <c r="H32" i="59"/>
  <c r="M31" i="55"/>
  <c r="G31" i="55"/>
  <c r="I31" i="55"/>
  <c r="Q31" i="55"/>
  <c r="O31" i="55"/>
  <c r="H31" i="55"/>
  <c r="P31" i="55"/>
  <c r="L31" i="55"/>
  <c r="J31" i="55"/>
  <c r="R31" i="55"/>
  <c r="K31" i="55"/>
  <c r="N31" i="55"/>
  <c r="E7" i="63"/>
  <c r="E7" i="61"/>
  <c r="E7" i="59"/>
  <c r="E7" i="60"/>
  <c r="E7" i="57"/>
  <c r="E7" i="58"/>
  <c r="E7" i="55"/>
  <c r="E7" i="56"/>
  <c r="E37" i="58"/>
  <c r="G24" i="61" a="1"/>
  <c r="R24" i="61" s="1"/>
  <c r="P6" i="55"/>
  <c r="P6" i="57"/>
  <c r="G29" i="58" a="1"/>
  <c r="I29" i="58" s="1"/>
  <c r="S24" i="61"/>
  <c r="E37" i="59"/>
  <c r="E16" i="58" a="1"/>
  <c r="E20" i="58" s="1"/>
  <c r="M12" i="56"/>
  <c r="V12" i="56"/>
  <c r="P26" i="56"/>
  <c r="G29" i="59" a="1"/>
  <c r="K29" i="59" s="1"/>
  <c r="E16" i="55" a="1"/>
  <c r="E20" i="55" s="1"/>
  <c r="E37" i="57"/>
  <c r="P12" i="56"/>
  <c r="E16" i="57" a="1"/>
  <c r="E23" i="57" s="1"/>
  <c r="P6" i="58"/>
  <c r="E16" i="59" a="1"/>
  <c r="E24" i="59" s="1"/>
  <c r="S12" i="56"/>
  <c r="G29" i="55" a="1"/>
  <c r="O29" i="55" s="1"/>
  <c r="E37" i="55"/>
  <c r="G29" i="57" a="1"/>
  <c r="G29" i="57" s="1"/>
  <c r="G12" i="56"/>
  <c r="J26" i="56"/>
  <c r="P6" i="59"/>
  <c r="E37" i="61"/>
  <c r="J12" i="56"/>
  <c r="Q14" i="56" l="1"/>
  <c r="R14" i="56" s="1"/>
  <c r="Q17" i="56"/>
  <c r="W17" i="56" s="1"/>
  <c r="Q16" i="56"/>
  <c r="R16" i="56" s="1"/>
  <c r="V17" i="56"/>
  <c r="R13" i="56"/>
  <c r="N31" i="59"/>
  <c r="P31" i="59"/>
  <c r="Q31" i="59"/>
  <c r="O31" i="59"/>
  <c r="H31" i="59"/>
  <c r="I31" i="59"/>
  <c r="K31" i="59"/>
  <c r="L31" i="59"/>
  <c r="J31" i="59"/>
  <c r="R31" i="59"/>
  <c r="M31" i="59"/>
  <c r="G31" i="59"/>
  <c r="E20" i="59"/>
  <c r="E16" i="55"/>
  <c r="E25" i="55"/>
  <c r="E19" i="59"/>
  <c r="E19" i="55"/>
  <c r="E22" i="55"/>
  <c r="E18" i="59"/>
  <c r="Q29" i="58"/>
  <c r="E26" i="59"/>
  <c r="E16" i="59"/>
  <c r="E24" i="55"/>
  <c r="E17" i="55"/>
  <c r="N29" i="58"/>
  <c r="E23" i="59"/>
  <c r="E23" i="55"/>
  <c r="E21" i="55"/>
  <c r="E27" i="55"/>
  <c r="O29" i="58"/>
  <c r="Q29" i="57"/>
  <c r="R29" i="57"/>
  <c r="L29" i="57"/>
  <c r="J29" i="55"/>
  <c r="I29" i="55"/>
  <c r="N29" i="55"/>
  <c r="E25" i="59"/>
  <c r="E21" i="59"/>
  <c r="E27" i="59"/>
  <c r="E20" i="57"/>
  <c r="E26" i="57"/>
  <c r="E19" i="57"/>
  <c r="P29" i="59"/>
  <c r="M29" i="59"/>
  <c r="H29" i="59"/>
  <c r="E23" i="58"/>
  <c r="E17" i="58"/>
  <c r="E19" i="58"/>
  <c r="H29" i="58"/>
  <c r="M29" i="58"/>
  <c r="R29" i="58"/>
  <c r="G24" i="61"/>
  <c r="M24" i="61"/>
  <c r="I24" i="61"/>
  <c r="K29" i="57"/>
  <c r="I29" i="57"/>
  <c r="H29" i="57"/>
  <c r="L29" i="55"/>
  <c r="K29" i="55"/>
  <c r="G29" i="55"/>
  <c r="E22" i="59"/>
  <c r="E17" i="59"/>
  <c r="E22" i="57"/>
  <c r="E27" i="57"/>
  <c r="E18" i="57"/>
  <c r="R29" i="59"/>
  <c r="O29" i="59"/>
  <c r="N29" i="59"/>
  <c r="E27" i="58"/>
  <c r="E16" i="58"/>
  <c r="E25" i="58"/>
  <c r="H24" i="61"/>
  <c r="Q24" i="61"/>
  <c r="J24" i="61"/>
  <c r="J29" i="57"/>
  <c r="O29" i="57"/>
  <c r="M29" i="57"/>
  <c r="Q29" i="55"/>
  <c r="M29" i="55"/>
  <c r="H29" i="55"/>
  <c r="E16" i="57"/>
  <c r="E25" i="57"/>
  <c r="E21" i="57"/>
  <c r="E26" i="55"/>
  <c r="E18" i="55"/>
  <c r="L29" i="59"/>
  <c r="J29" i="59"/>
  <c r="G29" i="59"/>
  <c r="E26" i="58"/>
  <c r="E24" i="58"/>
  <c r="E22" i="58"/>
  <c r="L29" i="58"/>
  <c r="P29" i="58"/>
  <c r="J29" i="58"/>
  <c r="N24" i="61"/>
  <c r="K24" i="61"/>
  <c r="O24" i="61"/>
  <c r="P29" i="57"/>
  <c r="N29" i="57"/>
  <c r="R29" i="55"/>
  <c r="P29" i="55"/>
  <c r="E17" i="57"/>
  <c r="E24" i="57"/>
  <c r="I29" i="59"/>
  <c r="Q29" i="59"/>
  <c r="E18" i="58"/>
  <c r="E21" i="58"/>
  <c r="K29" i="58"/>
  <c r="G29" i="58"/>
  <c r="P24" i="61"/>
  <c r="L24" i="61"/>
  <c r="G9" i="61" a="1"/>
  <c r="O9" i="61" s="1"/>
  <c r="O10" i="61" s="1" a="1"/>
  <c r="E6" i="63"/>
  <c r="S9" i="61"/>
  <c r="X17" i="56" l="1"/>
  <c r="R17" i="56"/>
  <c r="S14" i="57"/>
  <c r="M14" i="57"/>
  <c r="O14" i="57"/>
  <c r="R14" i="57"/>
  <c r="S13" i="57"/>
  <c r="S15" i="57" s="1"/>
  <c r="N14" i="57"/>
  <c r="I14" i="57"/>
  <c r="K13" i="57"/>
  <c r="K15" i="57" s="1"/>
  <c r="P13" i="57"/>
  <c r="P15" i="57" s="1"/>
  <c r="M13" i="57"/>
  <c r="M15" i="57" s="1"/>
  <c r="J14" i="57"/>
  <c r="P14" i="57"/>
  <c r="O13" i="57"/>
  <c r="O15" i="57" s="1"/>
  <c r="H13" i="57"/>
  <c r="H15" i="57" s="1"/>
  <c r="G13" i="57"/>
  <c r="G15" i="57" s="1"/>
  <c r="Q14" i="57"/>
  <c r="Q13" i="57"/>
  <c r="Q15" i="57" s="1"/>
  <c r="L13" i="57"/>
  <c r="L15" i="57" s="1"/>
  <c r="L14" i="57"/>
  <c r="G14" i="57"/>
  <c r="K14" i="57"/>
  <c r="J13" i="57"/>
  <c r="J15" i="57" s="1"/>
  <c r="R13" i="57"/>
  <c r="R15" i="57" s="1"/>
  <c r="N13" i="57"/>
  <c r="N15" i="57" s="1"/>
  <c r="H14" i="57"/>
  <c r="I13" i="57"/>
  <c r="I15" i="57" s="1"/>
  <c r="R14" i="58"/>
  <c r="P14" i="58"/>
  <c r="M14" i="58"/>
  <c r="G13" i="58"/>
  <c r="G15" i="58" s="1"/>
  <c r="I13" i="58"/>
  <c r="I15" i="58" s="1"/>
  <c r="S13" i="58"/>
  <c r="S15" i="58" s="1"/>
  <c r="L13" i="58"/>
  <c r="L15" i="58" s="1"/>
  <c r="R13" i="58"/>
  <c r="R15" i="58" s="1"/>
  <c r="P13" i="58"/>
  <c r="P15" i="58" s="1"/>
  <c r="M13" i="58"/>
  <c r="M15" i="58" s="1"/>
  <c r="G14" i="58"/>
  <c r="I14" i="58"/>
  <c r="S14" i="58"/>
  <c r="L14" i="58"/>
  <c r="K13" i="58"/>
  <c r="K15" i="58" s="1"/>
  <c r="H13" i="58"/>
  <c r="H15" i="58" s="1"/>
  <c r="O13" i="58"/>
  <c r="O15" i="58" s="1"/>
  <c r="N14" i="58"/>
  <c r="J14" i="58"/>
  <c r="Q13" i="58"/>
  <c r="Q15" i="58" s="1"/>
  <c r="K14" i="58"/>
  <c r="H14" i="58"/>
  <c r="O14" i="58"/>
  <c r="N13" i="58"/>
  <c r="N15" i="58" s="1"/>
  <c r="J13" i="58"/>
  <c r="J15" i="58" s="1"/>
  <c r="Q14" i="58"/>
  <c r="L13" i="59"/>
  <c r="L15" i="59" s="1"/>
  <c r="H13" i="59"/>
  <c r="H15" i="59" s="1"/>
  <c r="O13" i="59"/>
  <c r="O15" i="59" s="1"/>
  <c r="N14" i="59"/>
  <c r="J13" i="59"/>
  <c r="J15" i="59" s="1"/>
  <c r="P13" i="59"/>
  <c r="P15" i="59" s="1"/>
  <c r="R13" i="59"/>
  <c r="R15" i="59" s="1"/>
  <c r="K13" i="59"/>
  <c r="K15" i="59" s="1"/>
  <c r="M14" i="59"/>
  <c r="I14" i="59"/>
  <c r="S13" i="59"/>
  <c r="S15" i="59" s="1"/>
  <c r="G13" i="59"/>
  <c r="G15" i="59" s="1"/>
  <c r="L14" i="59"/>
  <c r="H14" i="59"/>
  <c r="O14" i="59"/>
  <c r="N13" i="59"/>
  <c r="N15" i="59" s="1"/>
  <c r="J14" i="59"/>
  <c r="P14" i="59"/>
  <c r="R14" i="59"/>
  <c r="K14" i="59"/>
  <c r="M13" i="59"/>
  <c r="M15" i="59" s="1"/>
  <c r="I13" i="59"/>
  <c r="I15" i="59" s="1"/>
  <c r="Q13" i="59"/>
  <c r="Q15" i="59" s="1"/>
  <c r="G14" i="59"/>
  <c r="W14" i="59"/>
  <c r="X14" i="59"/>
  <c r="Q14" i="59"/>
  <c r="W13" i="59"/>
  <c r="W15" i="59" s="1"/>
  <c r="X13" i="59"/>
  <c r="X15" i="59" s="1"/>
  <c r="V14" i="59"/>
  <c r="U14" i="59"/>
  <c r="V13" i="59"/>
  <c r="V15" i="59" s="1"/>
  <c r="U13" i="59"/>
  <c r="U15" i="59" s="1"/>
  <c r="S14" i="59"/>
  <c r="K13" i="55"/>
  <c r="K15" i="55" s="1"/>
  <c r="R13" i="55"/>
  <c r="R15" i="55" s="1"/>
  <c r="L14" i="55"/>
  <c r="G14" i="55"/>
  <c r="P13" i="55"/>
  <c r="P15" i="55" s="1"/>
  <c r="Q13" i="55"/>
  <c r="Q15" i="55" s="1"/>
  <c r="H13" i="55"/>
  <c r="H15" i="55" s="1"/>
  <c r="O13" i="55"/>
  <c r="O15" i="55" s="1"/>
  <c r="J13" i="55"/>
  <c r="J15" i="55" s="1"/>
  <c r="M14" i="55"/>
  <c r="H14" i="55"/>
  <c r="O14" i="55"/>
  <c r="J14" i="55"/>
  <c r="M13" i="55"/>
  <c r="M15" i="55" s="1"/>
  <c r="K14" i="55"/>
  <c r="R14" i="55"/>
  <c r="L13" i="55"/>
  <c r="L15" i="55" s="1"/>
  <c r="G13" i="55"/>
  <c r="G15" i="55" s="1"/>
  <c r="P14" i="55"/>
  <c r="Q14" i="55"/>
  <c r="N13" i="55"/>
  <c r="N15" i="55" s="1"/>
  <c r="I13" i="55"/>
  <c r="I15" i="55" s="1"/>
  <c r="N14" i="55"/>
  <c r="I14" i="55"/>
  <c r="S13" i="55"/>
  <c r="S15" i="55" s="1"/>
  <c r="S14" i="55"/>
  <c r="O14" i="61"/>
  <c r="O19" i="61"/>
  <c r="O17" i="61"/>
  <c r="O15" i="61"/>
  <c r="O12" i="61"/>
  <c r="O18" i="61"/>
  <c r="O11" i="61"/>
  <c r="O13" i="61"/>
  <c r="O10" i="61"/>
  <c r="O16" i="61"/>
  <c r="K34" i="56"/>
  <c r="K28" i="56"/>
  <c r="K27" i="56"/>
  <c r="K30" i="56"/>
  <c r="K31" i="56"/>
  <c r="K29" i="56"/>
  <c r="O25" i="61" a="1"/>
  <c r="V25" i="57"/>
  <c r="E6" i="58"/>
  <c r="U20" i="57"/>
  <c r="W26" i="57"/>
  <c r="E6" i="61"/>
  <c r="V16" i="58"/>
  <c r="E6" i="56"/>
  <c r="E6" i="57"/>
  <c r="U25" i="58"/>
  <c r="U27" i="58"/>
  <c r="U26" i="58"/>
  <c r="U21" i="58"/>
  <c r="U23" i="58"/>
  <c r="U22" i="58"/>
  <c r="U20" i="58"/>
  <c r="U17" i="58"/>
  <c r="U18" i="58"/>
  <c r="U24" i="58"/>
  <c r="V21" i="57"/>
  <c r="V26" i="57"/>
  <c r="V24" i="57"/>
  <c r="V23" i="57"/>
  <c r="V27" i="57"/>
  <c r="V18" i="57"/>
  <c r="V20" i="57"/>
  <c r="V22" i="57"/>
  <c r="V16" i="57"/>
  <c r="X18" i="58"/>
  <c r="X19" i="58"/>
  <c r="X26" i="58"/>
  <c r="X17" i="58"/>
  <c r="X22" i="58"/>
  <c r="X25" i="58"/>
  <c r="X16" i="58"/>
  <c r="X20" i="58"/>
  <c r="X23" i="58"/>
  <c r="X21" i="58"/>
  <c r="X27" i="58"/>
  <c r="X16" i="57"/>
  <c r="X25" i="57"/>
  <c r="X22" i="57"/>
  <c r="X23" i="57"/>
  <c r="X24" i="57"/>
  <c r="X26" i="57"/>
  <c r="X21" i="57"/>
  <c r="X20" i="57"/>
  <c r="X27" i="57"/>
  <c r="X17" i="57"/>
  <c r="X24" i="58"/>
  <c r="V26" i="58"/>
  <c r="V24" i="58"/>
  <c r="V27" i="58"/>
  <c r="V20" i="58"/>
  <c r="V22" i="58"/>
  <c r="V18" i="58"/>
  <c r="V17" i="58"/>
  <c r="V25" i="58"/>
  <c r="V23" i="58"/>
  <c r="V21" i="58"/>
  <c r="W26" i="58"/>
  <c r="W23" i="58"/>
  <c r="W18" i="58"/>
  <c r="W25" i="58"/>
  <c r="W19" i="58"/>
  <c r="W22" i="58"/>
  <c r="W16" i="58"/>
  <c r="W24" i="58"/>
  <c r="W21" i="58"/>
  <c r="W17" i="58"/>
  <c r="W20" i="58"/>
  <c r="W22" i="57"/>
  <c r="W18" i="57"/>
  <c r="W24" i="57"/>
  <c r="W23" i="57"/>
  <c r="W16" i="57"/>
  <c r="W25" i="57"/>
  <c r="W21" i="57"/>
  <c r="W17" i="57"/>
  <c r="W27" i="57"/>
  <c r="W20" i="57"/>
  <c r="U17" i="57"/>
  <c r="U22" i="57"/>
  <c r="U26" i="57"/>
  <c r="U18" i="57"/>
  <c r="U23" i="57"/>
  <c r="U25" i="57"/>
  <c r="U24" i="57"/>
  <c r="U27" i="57"/>
  <c r="U21" i="57"/>
  <c r="V17" i="57"/>
  <c r="W27" i="58"/>
  <c r="X18" i="57"/>
  <c r="E6" i="60"/>
  <c r="E6" i="55"/>
  <c r="H9" i="61"/>
  <c r="H10" i="61" s="1" a="1"/>
  <c r="G9" i="61"/>
  <c r="G10" i="61" s="1" a="1"/>
  <c r="I9" i="61"/>
  <c r="I10" i="61" s="1" a="1"/>
  <c r="R9" i="61"/>
  <c r="R10" i="61" s="1" a="1"/>
  <c r="N9" i="61"/>
  <c r="N10" i="61" s="1" a="1"/>
  <c r="L9" i="61"/>
  <c r="L10" i="61" s="1" a="1"/>
  <c r="J9" i="61"/>
  <c r="J10" i="61" s="1" a="1"/>
  <c r="P9" i="61"/>
  <c r="P10" i="61" s="1" a="1"/>
  <c r="M9" i="61"/>
  <c r="M10" i="61" s="1" a="1"/>
  <c r="K9" i="61"/>
  <c r="K10" i="61" s="1" a="1"/>
  <c r="E6" i="59"/>
  <c r="Q9" i="61"/>
  <c r="Q10" i="61" s="1" a="1"/>
  <c r="P30" i="56"/>
  <c r="E27" i="1" l="1"/>
  <c r="X14" i="58"/>
  <c r="X13" i="58"/>
  <c r="X15" i="58" s="1"/>
  <c r="W14" i="58"/>
  <c r="W13" i="58"/>
  <c r="W15" i="58" s="1"/>
  <c r="X13" i="57"/>
  <c r="X15" i="57" s="1"/>
  <c r="W13" i="57"/>
  <c r="W15" i="57" s="1"/>
  <c r="V13" i="58"/>
  <c r="V15" i="58" s="1"/>
  <c r="V13" i="57"/>
  <c r="V15" i="57" s="1"/>
  <c r="K12" i="61"/>
  <c r="K13" i="61"/>
  <c r="K15" i="61"/>
  <c r="K17" i="61"/>
  <c r="K14" i="61"/>
  <c r="K11" i="61"/>
  <c r="K10" i="61"/>
  <c r="K16" i="61"/>
  <c r="K18" i="61"/>
  <c r="K19" i="61"/>
  <c r="M12" i="61"/>
  <c r="M19" i="61"/>
  <c r="M13" i="61"/>
  <c r="M18" i="61"/>
  <c r="M10" i="61"/>
  <c r="M16" i="61"/>
  <c r="M15" i="61"/>
  <c r="M17" i="61"/>
  <c r="M11" i="61"/>
  <c r="M14" i="61"/>
  <c r="N11" i="61"/>
  <c r="N19" i="61"/>
  <c r="N10" i="61"/>
  <c r="N18" i="61"/>
  <c r="N14" i="61"/>
  <c r="N17" i="61"/>
  <c r="N13" i="61"/>
  <c r="N12" i="61"/>
  <c r="N16" i="61"/>
  <c r="N15" i="61"/>
  <c r="H11" i="61"/>
  <c r="H12" i="61"/>
  <c r="H19" i="61"/>
  <c r="H18" i="61"/>
  <c r="H10" i="61"/>
  <c r="H13" i="61"/>
  <c r="H14" i="61"/>
  <c r="H17" i="61"/>
  <c r="H15" i="61"/>
  <c r="H16" i="61"/>
  <c r="R11" i="61"/>
  <c r="R10" i="61"/>
  <c r="R13" i="61"/>
  <c r="R14" i="61"/>
  <c r="R17" i="61"/>
  <c r="R16" i="61"/>
  <c r="R19" i="61"/>
  <c r="R12" i="61"/>
  <c r="R18" i="61"/>
  <c r="R15" i="61"/>
  <c r="Q10" i="61"/>
  <c r="Q12" i="61"/>
  <c r="Q15" i="61"/>
  <c r="Q14" i="61"/>
  <c r="Q16" i="61"/>
  <c r="Q19" i="61"/>
  <c r="Q18" i="61"/>
  <c r="Q11" i="61"/>
  <c r="Q17" i="61"/>
  <c r="Q13" i="61"/>
  <c r="P19" i="61"/>
  <c r="P18" i="61"/>
  <c r="P17" i="61"/>
  <c r="P15" i="61"/>
  <c r="P14" i="61"/>
  <c r="P11" i="61"/>
  <c r="P12" i="61"/>
  <c r="P10" i="61"/>
  <c r="P13" i="61"/>
  <c r="P16" i="61"/>
  <c r="J11" i="61"/>
  <c r="J17" i="61"/>
  <c r="J15" i="61"/>
  <c r="J18" i="61"/>
  <c r="J19" i="61"/>
  <c r="J16" i="61"/>
  <c r="J12" i="61"/>
  <c r="J10" i="61"/>
  <c r="J14" i="61"/>
  <c r="J13" i="61"/>
  <c r="I17" i="61"/>
  <c r="I15" i="61"/>
  <c r="I16" i="61"/>
  <c r="I10" i="61"/>
  <c r="I12" i="61"/>
  <c r="I11" i="61"/>
  <c r="I13" i="61"/>
  <c r="I14" i="61"/>
  <c r="I18" i="61"/>
  <c r="I19" i="61"/>
  <c r="L15" i="61"/>
  <c r="L12" i="61"/>
  <c r="L17" i="61"/>
  <c r="L18" i="61"/>
  <c r="L10" i="61"/>
  <c r="L11" i="61"/>
  <c r="L14" i="61"/>
  <c r="L13" i="61"/>
  <c r="L19" i="61"/>
  <c r="L16" i="61"/>
  <c r="G11" i="61"/>
  <c r="G13" i="61"/>
  <c r="G10" i="61"/>
  <c r="G17" i="61"/>
  <c r="G15" i="61"/>
  <c r="G12" i="61"/>
  <c r="G19" i="61"/>
  <c r="G14" i="61"/>
  <c r="G18" i="61"/>
  <c r="G16" i="61"/>
  <c r="P25" i="61" a="1"/>
  <c r="R25" i="61" a="1"/>
  <c r="O27" i="61"/>
  <c r="O31" i="61"/>
  <c r="O30" i="61"/>
  <c r="O32" i="61"/>
  <c r="O25" i="61"/>
  <c r="O29" i="61"/>
  <c r="O28" i="61"/>
  <c r="O26" i="61"/>
  <c r="J25" i="61" a="1"/>
  <c r="I25" i="61" a="1"/>
  <c r="T26" i="55"/>
  <c r="T27" i="55"/>
  <c r="T19" i="55"/>
  <c r="K25" i="61" a="1"/>
  <c r="L25" i="61" a="1"/>
  <c r="H38" i="61"/>
  <c r="G25" i="61" a="1"/>
  <c r="Q25" i="61" a="1"/>
  <c r="M25" i="61" a="1"/>
  <c r="N25" i="61" a="1"/>
  <c r="H25" i="61" a="1"/>
  <c r="Z16" i="63"/>
  <c r="U19" i="57"/>
  <c r="U14" i="57" s="1"/>
  <c r="V19" i="57"/>
  <c r="V14" i="57" s="1"/>
  <c r="U16" i="58"/>
  <c r="U13" i="58" s="1"/>
  <c r="U15" i="58" s="1"/>
  <c r="W19" i="57"/>
  <c r="W14" i="57" s="1"/>
  <c r="X19" i="57"/>
  <c r="X14" i="57" s="1"/>
  <c r="S33" i="61"/>
  <c r="U16" i="57"/>
  <c r="U13" i="57" s="1"/>
  <c r="U15" i="57" s="1"/>
  <c r="V19" i="58"/>
  <c r="V14" i="58" s="1"/>
  <c r="S35" i="61"/>
  <c r="U19" i="58"/>
  <c r="U14" i="58" s="1"/>
  <c r="P27" i="56"/>
  <c r="P29" i="56"/>
  <c r="E29" i="1" l="1"/>
  <c r="E28" i="1"/>
  <c r="E30" i="1"/>
  <c r="E26" i="1"/>
  <c r="E25" i="1"/>
  <c r="E24" i="1"/>
  <c r="E20" i="1"/>
  <c r="E23" i="1"/>
  <c r="E22" i="1"/>
  <c r="E19" i="1"/>
  <c r="E21" i="1"/>
  <c r="E21" i="63"/>
  <c r="T24" i="55"/>
  <c r="T20" i="55"/>
  <c r="T21" i="55"/>
  <c r="T22" i="55"/>
  <c r="T23" i="55"/>
  <c r="T25" i="55"/>
  <c r="T17" i="55"/>
  <c r="T18" i="55"/>
  <c r="K27" i="61"/>
  <c r="K31" i="61"/>
  <c r="K26" i="61"/>
  <c r="K28" i="61"/>
  <c r="K32" i="61"/>
  <c r="K29" i="61"/>
  <c r="K30" i="61"/>
  <c r="K25" i="61"/>
  <c r="N29" i="61"/>
  <c r="N32" i="61"/>
  <c r="N30" i="61"/>
  <c r="N28" i="61"/>
  <c r="N26" i="61"/>
  <c r="N31" i="61"/>
  <c r="N27" i="61"/>
  <c r="N25" i="61"/>
  <c r="J26" i="61"/>
  <c r="J32" i="61"/>
  <c r="J29" i="61"/>
  <c r="J25" i="61"/>
  <c r="J30" i="61"/>
  <c r="J27" i="61"/>
  <c r="J31" i="61"/>
  <c r="J28" i="61"/>
  <c r="P27" i="61"/>
  <c r="P26" i="61"/>
  <c r="P25" i="61"/>
  <c r="P28" i="61"/>
  <c r="P31" i="61"/>
  <c r="P29" i="61"/>
  <c r="P30" i="61"/>
  <c r="P32" i="61"/>
  <c r="Q30" i="61"/>
  <c r="Q27" i="61"/>
  <c r="Q28" i="61"/>
  <c r="Q31" i="61"/>
  <c r="Q26" i="61"/>
  <c r="Q29" i="61"/>
  <c r="Q32" i="61"/>
  <c r="Q25" i="61"/>
  <c r="I29" i="61"/>
  <c r="I32" i="61"/>
  <c r="I27" i="61"/>
  <c r="I26" i="61"/>
  <c r="I30" i="61"/>
  <c r="I31" i="61"/>
  <c r="I25" i="61"/>
  <c r="I28" i="61"/>
  <c r="R29" i="61"/>
  <c r="R28" i="61"/>
  <c r="R30" i="61"/>
  <c r="R32" i="61"/>
  <c r="R25" i="61"/>
  <c r="R27" i="61"/>
  <c r="R26" i="61"/>
  <c r="R31" i="61"/>
  <c r="H31" i="61"/>
  <c r="H30" i="61"/>
  <c r="H26" i="61"/>
  <c r="H28" i="61"/>
  <c r="H29" i="61"/>
  <c r="H27" i="61"/>
  <c r="H32" i="61"/>
  <c r="H25" i="61"/>
  <c r="M27" i="61"/>
  <c r="M29" i="61"/>
  <c r="M25" i="61"/>
  <c r="M26" i="61"/>
  <c r="M30" i="61"/>
  <c r="M31" i="61"/>
  <c r="M28" i="61"/>
  <c r="M32" i="61"/>
  <c r="G32" i="61"/>
  <c r="G31" i="61"/>
  <c r="G29" i="61"/>
  <c r="G30" i="61"/>
  <c r="G28" i="61"/>
  <c r="G26" i="61"/>
  <c r="G27" i="61"/>
  <c r="G25" i="61"/>
  <c r="L32" i="61"/>
  <c r="L27" i="61"/>
  <c r="L28" i="61"/>
  <c r="L25" i="61"/>
  <c r="L31" i="61"/>
  <c r="L29" i="61"/>
  <c r="L30" i="61"/>
  <c r="L26" i="61"/>
  <c r="O9" i="63"/>
  <c r="N34" i="57"/>
  <c r="N35" i="57" s="1"/>
  <c r="O33" i="58"/>
  <c r="U24" i="55"/>
  <c r="U27" i="55"/>
  <c r="W19" i="55"/>
  <c r="X23" i="55"/>
  <c r="U17" i="55"/>
  <c r="U19" i="55"/>
  <c r="N33" i="57"/>
  <c r="W20" i="55"/>
  <c r="X17" i="55"/>
  <c r="X16" i="55"/>
  <c r="U26" i="55"/>
  <c r="W24" i="55"/>
  <c r="V18" i="55"/>
  <c r="V16" i="55"/>
  <c r="W16" i="55"/>
  <c r="U20" i="55"/>
  <c r="W27" i="55"/>
  <c r="W26" i="55"/>
  <c r="V22" i="55"/>
  <c r="X25" i="55"/>
  <c r="W18" i="55"/>
  <c r="X18" i="55"/>
  <c r="V25" i="55"/>
  <c r="V26" i="55"/>
  <c r="X21" i="55"/>
  <c r="X24" i="55"/>
  <c r="V24" i="55"/>
  <c r="W21" i="55"/>
  <c r="X27" i="55"/>
  <c r="U25" i="55"/>
  <c r="X26" i="55"/>
  <c r="U23" i="55"/>
  <c r="U22" i="55"/>
  <c r="U21" i="55"/>
  <c r="W23" i="55"/>
  <c r="X20" i="55"/>
  <c r="V27" i="55"/>
  <c r="W17" i="55"/>
  <c r="V23" i="55"/>
  <c r="X22" i="55"/>
  <c r="U18" i="55"/>
  <c r="W22" i="55"/>
  <c r="W25" i="55"/>
  <c r="V21" i="55"/>
  <c r="V17" i="55"/>
  <c r="U16" i="55"/>
  <c r="F21" i="58"/>
  <c r="F22" i="58"/>
  <c r="F30" i="58"/>
  <c r="F17" i="58"/>
  <c r="F20" i="58"/>
  <c r="F18" i="58"/>
  <c r="F26" i="58"/>
  <c r="F23" i="58"/>
  <c r="F24" i="58"/>
  <c r="F19" i="58"/>
  <c r="F25" i="58"/>
  <c r="F27" i="58"/>
  <c r="F18" i="57"/>
  <c r="F26" i="57"/>
  <c r="F25" i="57"/>
  <c r="F30" i="57"/>
  <c r="F23" i="57"/>
  <c r="F19" i="57"/>
  <c r="F22" i="57"/>
  <c r="F24" i="57"/>
  <c r="F17" i="57"/>
  <c r="F20" i="57"/>
  <c r="F21" i="57"/>
  <c r="F27" i="57"/>
  <c r="V20" i="55"/>
  <c r="V19" i="55"/>
  <c r="X19" i="55"/>
  <c r="X14" i="55" l="1"/>
  <c r="X13" i="55"/>
  <c r="X15" i="55" s="1"/>
  <c r="U14" i="55"/>
  <c r="U13" i="55"/>
  <c r="U15" i="55" s="1"/>
  <c r="W14" i="55"/>
  <c r="W13" i="55"/>
  <c r="W15" i="55" s="1"/>
  <c r="V14" i="55"/>
  <c r="V13" i="55"/>
  <c r="V15" i="55" s="1"/>
  <c r="Q34" i="57"/>
  <c r="Q35" i="57" s="1"/>
  <c r="M33" i="57"/>
  <c r="J33" i="59"/>
  <c r="M34" i="55"/>
  <c r="M35" i="55" s="1"/>
  <c r="O34" i="59"/>
  <c r="O35" i="59" s="1"/>
  <c r="P33" i="57"/>
  <c r="R34" i="58"/>
  <c r="R35" i="58" s="1"/>
  <c r="N33" i="55"/>
  <c r="O33" i="55"/>
  <c r="S32" i="61"/>
  <c r="T32" i="61" s="1"/>
  <c r="U32" i="61" s="1"/>
  <c r="S29" i="61"/>
  <c r="S26" i="61"/>
  <c r="P33" i="58"/>
  <c r="O34" i="57"/>
  <c r="O35" i="57" s="1"/>
  <c r="S28" i="61"/>
  <c r="S25" i="61"/>
  <c r="S31" i="61"/>
  <c r="S27" i="61"/>
  <c r="S30" i="61"/>
  <c r="S12" i="61"/>
  <c r="S10" i="61"/>
  <c r="S14" i="61"/>
  <c r="S18" i="61"/>
  <c r="S19" i="61"/>
  <c r="T19" i="61" s="1"/>
  <c r="U19" i="61" s="1"/>
  <c r="S16" i="61"/>
  <c r="S15" i="61"/>
  <c r="S11" i="61"/>
  <c r="S13" i="61"/>
  <c r="S17" i="61"/>
  <c r="F26" i="55"/>
  <c r="F27" i="55"/>
  <c r="R33" i="57"/>
  <c r="K33" i="58"/>
  <c r="K34" i="57"/>
  <c r="K35" i="57" s="1"/>
  <c r="K33" i="57"/>
  <c r="O33" i="57"/>
  <c r="J34" i="57"/>
  <c r="J35" i="57" s="1"/>
  <c r="H33" i="57"/>
  <c r="J33" i="57"/>
  <c r="H34" i="57"/>
  <c r="H35" i="57" s="1"/>
  <c r="M34" i="57"/>
  <c r="M35" i="57" s="1"/>
  <c r="K33" i="55"/>
  <c r="L33" i="58"/>
  <c r="I33" i="58"/>
  <c r="L33" i="55"/>
  <c r="M34" i="59"/>
  <c r="M35" i="59" s="1"/>
  <c r="J33" i="58"/>
  <c r="R33" i="58"/>
  <c r="J33" i="55"/>
  <c r="K34" i="58"/>
  <c r="K35" i="58" s="1"/>
  <c r="R34" i="57"/>
  <c r="R35" i="57" s="1"/>
  <c r="P34" i="57"/>
  <c r="P35" i="57" s="1"/>
  <c r="Q34" i="59"/>
  <c r="Q35" i="59" s="1"/>
  <c r="N34" i="59"/>
  <c r="N35" i="59" s="1"/>
  <c r="P34" i="59"/>
  <c r="P35" i="59" s="1"/>
  <c r="K34" i="59"/>
  <c r="K35" i="59" s="1"/>
  <c r="N33" i="59"/>
  <c r="P33" i="55"/>
  <c r="H34" i="55"/>
  <c r="H35" i="55" s="1"/>
  <c r="I33" i="55"/>
  <c r="L33" i="59"/>
  <c r="R34" i="59"/>
  <c r="R35" i="59" s="1"/>
  <c r="H33" i="55"/>
  <c r="Q33" i="59"/>
  <c r="P34" i="55"/>
  <c r="P35" i="55" s="1"/>
  <c r="Q33" i="55"/>
  <c r="J34" i="55"/>
  <c r="J35" i="55" s="1"/>
  <c r="K34" i="55"/>
  <c r="K35" i="55" s="1"/>
  <c r="N34" i="55"/>
  <c r="N35" i="55" s="1"/>
  <c r="H33" i="58"/>
  <c r="I34" i="55"/>
  <c r="I35" i="55" s="1"/>
  <c r="J34" i="59"/>
  <c r="J35" i="59" s="1"/>
  <c r="O34" i="55"/>
  <c r="O35" i="55" s="1"/>
  <c r="K33" i="59"/>
  <c r="L34" i="57"/>
  <c r="L35" i="57" s="1"/>
  <c r="P34" i="58"/>
  <c r="P35" i="58" s="1"/>
  <c r="N34" i="58"/>
  <c r="N35" i="58" s="1"/>
  <c r="J34" i="58"/>
  <c r="J35" i="58" s="1"/>
  <c r="O34" i="58"/>
  <c r="O35" i="58" s="1"/>
  <c r="R34" i="55"/>
  <c r="R35" i="55" s="1"/>
  <c r="L34" i="58"/>
  <c r="L35" i="58" s="1"/>
  <c r="I34" i="59"/>
  <c r="I35" i="59" s="1"/>
  <c r="Q34" i="58"/>
  <c r="Q35" i="58" s="1"/>
  <c r="I34" i="58"/>
  <c r="I35" i="58" s="1"/>
  <c r="H34" i="58"/>
  <c r="H35" i="58" s="1"/>
  <c r="Q33" i="58"/>
  <c r="H34" i="59"/>
  <c r="H35" i="59" s="1"/>
  <c r="M33" i="58"/>
  <c r="I33" i="57"/>
  <c r="I34" i="57"/>
  <c r="I35" i="57" s="1"/>
  <c r="I33" i="59"/>
  <c r="Q34" i="55"/>
  <c r="Q35" i="55" s="1"/>
  <c r="M33" i="55"/>
  <c r="Q33" i="57"/>
  <c r="N33" i="58"/>
  <c r="M34" i="58"/>
  <c r="M35" i="58" s="1"/>
  <c r="L34" i="55"/>
  <c r="L35" i="55" s="1"/>
  <c r="O33" i="59"/>
  <c r="M33" i="59"/>
  <c r="R33" i="59"/>
  <c r="L34" i="59"/>
  <c r="L35" i="59" s="1"/>
  <c r="R33" i="55"/>
  <c r="H33" i="59"/>
  <c r="L33" i="57"/>
  <c r="P33" i="59"/>
  <c r="T27" i="61" l="1"/>
  <c r="U27" i="61" s="1"/>
  <c r="T25" i="61"/>
  <c r="U25" i="61" s="1"/>
  <c r="T28" i="61"/>
  <c r="U28" i="61" s="1"/>
  <c r="T11" i="61"/>
  <c r="U11" i="61" s="1"/>
  <c r="T26" i="61"/>
  <c r="U26" i="61" s="1"/>
  <c r="T30" i="61"/>
  <c r="U30" i="61" s="1"/>
  <c r="T29" i="61"/>
  <c r="U29" i="61" s="1"/>
  <c r="T12" i="61"/>
  <c r="U12" i="61" s="1"/>
  <c r="T13" i="61"/>
  <c r="U13" i="61" s="1"/>
  <c r="T31" i="61"/>
  <c r="U31" i="61" s="1"/>
  <c r="T16" i="61"/>
  <c r="U16" i="61" s="1"/>
  <c r="T10" i="61"/>
  <c r="U10" i="61" s="1"/>
  <c r="T17" i="61"/>
  <c r="U17" i="61" s="1"/>
  <c r="T15" i="61"/>
  <c r="U15" i="61" s="1"/>
  <c r="T14" i="61"/>
  <c r="U14" i="61" s="1"/>
  <c r="T18" i="61"/>
  <c r="U18" i="61" s="1"/>
  <c r="F15" i="61"/>
  <c r="F19" i="61"/>
  <c r="F12" i="61"/>
  <c r="F16" i="61"/>
  <c r="F11" i="61"/>
  <c r="F13" i="61"/>
  <c r="F17" i="61"/>
  <c r="F14" i="61"/>
  <c r="F18" i="61"/>
  <c r="P31" i="56"/>
  <c r="P28" i="56"/>
  <c r="P32" i="56" l="1"/>
  <c r="J32" i="56"/>
  <c r="J35" i="56" s="1"/>
  <c r="J33" i="56" l="1"/>
  <c r="P34" i="56"/>
  <c r="P33" i="56" l="1"/>
  <c r="P35" i="56" l="1"/>
  <c r="K12" i="56"/>
  <c r="Q29" i="56"/>
  <c r="T12" i="56"/>
  <c r="P6" i="56"/>
  <c r="Q34" i="56"/>
  <c r="Q27" i="56"/>
  <c r="Q26" i="56"/>
  <c r="N12" i="56"/>
  <c r="Q12" i="56"/>
  <c r="Q28" i="56"/>
  <c r="Q31" i="56"/>
  <c r="H12" i="56"/>
  <c r="Q30" i="56"/>
  <c r="K26" i="56"/>
  <c r="W12" i="56"/>
  <c r="L31" i="56" l="1"/>
  <c r="I17" i="56"/>
  <c r="X18" i="56"/>
  <c r="R31" i="56"/>
  <c r="R27" i="56"/>
  <c r="I16" i="56"/>
  <c r="R34" i="56"/>
  <c r="R30" i="56"/>
  <c r="L29" i="56"/>
  <c r="L34" i="56"/>
  <c r="L30" i="56"/>
  <c r="X15" i="56"/>
  <c r="L28" i="56"/>
  <c r="L27" i="56"/>
  <c r="K32" i="56"/>
  <c r="K35" i="56" s="1"/>
  <c r="I14" i="56"/>
  <c r="R29" i="56"/>
  <c r="Q32" i="56"/>
  <c r="R28" i="56"/>
  <c r="Q35" i="56" l="1"/>
  <c r="R32" i="56"/>
  <c r="L32" i="56"/>
  <c r="K33" i="56"/>
  <c r="L33" i="56" s="1"/>
  <c r="Q33" i="56"/>
  <c r="R33" i="56" s="1"/>
  <c r="F13" i="56" l="1"/>
</calcChain>
</file>

<file path=xl/sharedStrings.xml><?xml version="1.0" encoding="utf-8"?>
<sst xmlns="http://schemas.openxmlformats.org/spreadsheetml/2006/main" count="6553" uniqueCount="244">
  <si>
    <t>Global Tourism Solutions (UK) Ltd</t>
  </si>
  <si>
    <t>Company:</t>
  </si>
  <si>
    <t>Product:</t>
  </si>
  <si>
    <t>STEAM</t>
  </si>
  <si>
    <t>Report Type:</t>
  </si>
  <si>
    <t>Authority:</t>
  </si>
  <si>
    <t>Sub-Zone:</t>
  </si>
  <si>
    <t>Prepared by:</t>
  </si>
  <si>
    <t>Date of Issue:</t>
  </si>
  <si>
    <t>Title1:</t>
  </si>
  <si>
    <t>Title2:</t>
  </si>
  <si>
    <t>Footer1:</t>
  </si>
  <si>
    <t>Footer2:</t>
  </si>
  <si>
    <t>These are Created from the text in the Area Definition Table</t>
  </si>
  <si>
    <t>Year No</t>
  </si>
  <si>
    <t>YEAR</t>
  </si>
  <si>
    <t>Select Year</t>
  </si>
  <si>
    <t>Economic Impact</t>
  </si>
  <si>
    <t>SFR</t>
  </si>
  <si>
    <t>Population</t>
  </si>
  <si>
    <t>Employment</t>
  </si>
  <si>
    <t>Vehicle Days</t>
  </si>
  <si>
    <t>Vehicle Numbers</t>
  </si>
  <si>
    <t>Accommodation</t>
  </si>
  <si>
    <t>MEASURE</t>
  </si>
  <si>
    <t>SUB-MEASURE</t>
  </si>
  <si>
    <t>JAN</t>
  </si>
  <si>
    <t>FEB</t>
  </si>
  <si>
    <t>MAR</t>
  </si>
  <si>
    <t>APR</t>
  </si>
  <si>
    <t>MAY</t>
  </si>
  <si>
    <t>JUN</t>
  </si>
  <si>
    <t>JUL</t>
  </si>
  <si>
    <t>AUG</t>
  </si>
  <si>
    <t>SEP</t>
  </si>
  <si>
    <t>OCT</t>
  </si>
  <si>
    <t>NOV</t>
  </si>
  <si>
    <t>DEC</t>
  </si>
  <si>
    <t>TOTAL</t>
  </si>
  <si>
    <t>LOOKUP</t>
  </si>
  <si>
    <t>Highlight %</t>
  </si>
  <si>
    <t>YES</t>
  </si>
  <si>
    <t>NO</t>
  </si>
  <si>
    <t>Serviced Accommodation</t>
  </si>
  <si>
    <t>Direct Expenditure</t>
  </si>
  <si>
    <t>Indirect Expenditure</t>
  </si>
  <si>
    <t>Direct Revenue</t>
  </si>
  <si>
    <t>VAT</t>
  </si>
  <si>
    <t>Non-Serviced Accommodation</t>
  </si>
  <si>
    <t>Food &amp; Drink</t>
  </si>
  <si>
    <t>Recreation</t>
  </si>
  <si>
    <t>Shopping</t>
  </si>
  <si>
    <t>Transport</t>
  </si>
  <si>
    <t>Indirect Employment</t>
  </si>
  <si>
    <t>Total</t>
  </si>
  <si>
    <t>Direct Employment</t>
  </si>
  <si>
    <t>UNITS</t>
  </si>
  <si>
    <t>£000s</t>
  </si>
  <si>
    <t>Bed Spaces</t>
  </si>
  <si>
    <t>FTEs</t>
  </si>
  <si>
    <t>Persons</t>
  </si>
  <si>
    <t>000s</t>
  </si>
  <si>
    <t>Indexation Applied</t>
  </si>
  <si>
    <t>Text for Drop-Down</t>
  </si>
  <si>
    <t>YNI</t>
  </si>
  <si>
    <t>Report Status:</t>
  </si>
  <si>
    <t>Draft</t>
  </si>
  <si>
    <t>OPTIONS:</t>
  </si>
  <si>
    <t>Final</t>
  </si>
  <si>
    <t>Text</t>
  </si>
  <si>
    <t>Years</t>
  </si>
  <si>
    <t>Day Visitor</t>
  </si>
  <si>
    <t>VISITOR TYPES</t>
  </si>
  <si>
    <t>the Average for</t>
  </si>
  <si>
    <t>Total Employment</t>
  </si>
  <si>
    <t>Total Economic Impact</t>
  </si>
  <si>
    <t>User Selected</t>
  </si>
  <si>
    <t>Series Name for Chart 2</t>
  </si>
  <si>
    <t>Percentage Change from Baseline</t>
  </si>
  <si>
    <t>Measure</t>
  </si>
  <si>
    <t>REPORT DEFINITION</t>
  </si>
  <si>
    <t>YEARS IN THIS REPORT</t>
  </si>
  <si>
    <t>COMPANY DETAILS</t>
  </si>
  <si>
    <t>Choices</t>
  </si>
  <si>
    <t>Q1: JAN to MAR</t>
  </si>
  <si>
    <t>Q2: APR to JUN</t>
  </si>
  <si>
    <t>Q3: JUL to SEP</t>
  </si>
  <si>
    <t>Q4: OCT to DEC</t>
  </si>
  <si>
    <t>All Year</t>
  </si>
  <si>
    <t>TOTAL DIRECT</t>
  </si>
  <si>
    <t>KEY</t>
  </si>
  <si>
    <t>Q1</t>
  </si>
  <si>
    <t>Q2</t>
  </si>
  <si>
    <t>Q3</t>
  </si>
  <si>
    <t>Q4</t>
  </si>
  <si>
    <t>All Staying Visitors</t>
  </si>
  <si>
    <t>All Visitor Types</t>
  </si>
  <si>
    <t>Day Visitors</t>
  </si>
  <si>
    <t>Grove House</t>
  </si>
  <si>
    <t>9D Throxenby Lane</t>
  </si>
  <si>
    <t>Scarborough</t>
  </si>
  <si>
    <t>North Yorkshire</t>
  </si>
  <si>
    <t>YO12 5HN</t>
  </si>
  <si>
    <t>AREA CODE:</t>
  </si>
  <si>
    <t>IND</t>
  </si>
  <si>
    <t>Comparative Headlines</t>
  </si>
  <si>
    <t>Sectoral Analysis</t>
  </si>
  <si>
    <t>Highlight Text &lt;</t>
  </si>
  <si>
    <t>Highlight Text &gt;</t>
  </si>
  <si>
    <t>Highlight Text =</t>
  </si>
  <si>
    <t>Serviced</t>
  </si>
  <si>
    <t>Non-Serviced</t>
  </si>
  <si>
    <t>Staying in Paid Accommodation</t>
  </si>
  <si>
    <t>+/- %</t>
  </si>
  <si>
    <t>Sectors</t>
  </si>
  <si>
    <t>Indirect</t>
  </si>
  <si>
    <t>Average Annual Change</t>
  </si>
  <si>
    <t>%</t>
  </si>
  <si>
    <t>% Change</t>
  </si>
  <si>
    <t>COMPARISON YEAR</t>
  </si>
  <si>
    <t>SHARE OF MARKET</t>
  </si>
  <si>
    <t>Share of Total</t>
  </si>
  <si>
    <t>Annual Change in Share</t>
  </si>
  <si>
    <t>CALENDAR YEAR</t>
  </si>
  <si>
    <t>QUARTER</t>
  </si>
  <si>
    <t>FOCUS YEAR</t>
  </si>
  <si>
    <t>KEY ECONOMIC IMPACT MEASURES</t>
  </si>
  <si>
    <t>CLICK THE SECTION HEADINGS OR EXAMPLE IMAGES TO NAVIGATE TO EACH REPORT SECTION</t>
  </si>
  <si>
    <t>FURTHER ANALYSES AND OUTPUTS</t>
  </si>
  <si>
    <t>REPORT NAVIGATION</t>
  </si>
  <si>
    <t>GUIDANCE</t>
  </si>
  <si>
    <t>SUPPLEMENTS</t>
  </si>
  <si>
    <t>MONTH AND QUARTER</t>
  </si>
  <si>
    <t>DATA</t>
  </si>
  <si>
    <t>CHART YEAR</t>
  </si>
  <si>
    <t>Key Measures</t>
  </si>
  <si>
    <t>ALOOKUP</t>
  </si>
  <si>
    <t>AREA</t>
  </si>
  <si>
    <t>Sectoral Distribution of Employment - FTEs</t>
  </si>
  <si>
    <t>Staying with Friends and Relatives (SFR)</t>
  </si>
  <si>
    <t>Staying Visitor</t>
  </si>
  <si>
    <t>CONTENTS</t>
  </si>
  <si>
    <t>SECTOR / YEAR</t>
  </si>
  <si>
    <t>Economic Impact £m</t>
  </si>
  <si>
    <t>£M</t>
  </si>
  <si>
    <t>M</t>
  </si>
  <si>
    <t>Avg Ann. Change in Share</t>
  </si>
  <si>
    <t>Telephone: 01723 506310</t>
  </si>
  <si>
    <t>Email: david.james@gtsuk.net</t>
  </si>
  <si>
    <t>Establishments</t>
  </si>
  <si>
    <t>Accommodation - Establishments</t>
  </si>
  <si>
    <t>Serviced Accommodation 1</t>
  </si>
  <si>
    <t>Serviced Accommodation 2</t>
  </si>
  <si>
    <t>Serviced Accommodation 3</t>
  </si>
  <si>
    <t>Serviced Accommodation 4</t>
  </si>
  <si>
    <t>Serviced Accommodation 5</t>
  </si>
  <si>
    <t>Non-Serviced Accommodation 1</t>
  </si>
  <si>
    <t>Non-Serviced Accommodation 2</t>
  </si>
  <si>
    <t>Non-Serviced Accommodation 3</t>
  </si>
  <si>
    <t>Non-Serviced Accommodation 4</t>
  </si>
  <si>
    <t>Non-Serviced Accommodation 5</t>
  </si>
  <si>
    <t>Serviced Accommodation Total</t>
  </si>
  <si>
    <t>Non-Serviced Accommodation Total</t>
  </si>
  <si>
    <t>All Accommodation Types</t>
  </si>
  <si>
    <t>Accommodation - Bed Spaces</t>
  </si>
  <si>
    <t>USER GUIDE</t>
  </si>
  <si>
    <t>Visitor Types:</t>
  </si>
  <si>
    <t>Direct and Total Employment</t>
  </si>
  <si>
    <t>Sections:</t>
  </si>
  <si>
    <t>Indexation:</t>
  </si>
  <si>
    <t>Demonstration</t>
  </si>
  <si>
    <t>Visitor Days</t>
  </si>
  <si>
    <t>Visitor Numbers</t>
  </si>
  <si>
    <t>STAYING VISITORS</t>
  </si>
  <si>
    <t>Website: www.globaltourismsolutions.co.uk</t>
  </si>
  <si>
    <t>Est.</t>
  </si>
  <si>
    <t>Beds</t>
  </si>
  <si>
    <t>All Paid Accommodation Total</t>
  </si>
  <si>
    <t>Serviced Accommodation Share of Total</t>
  </si>
  <si>
    <t>Non-Serviced Accommodation Share of Total</t>
  </si>
  <si>
    <r>
      <t>"Linear" =</t>
    </r>
    <r>
      <rPr>
        <i/>
        <sz val="8"/>
        <rFont val="Calibri"/>
        <family val="2"/>
        <scheme val="minor"/>
      </rPr>
      <t xml:space="preserve"> Linear Trendline</t>
    </r>
  </si>
  <si>
    <t>Email: david.c@gtsuk.net</t>
  </si>
  <si>
    <t>Fife</t>
  </si>
  <si>
    <t>Telephone: 0778 858 3238</t>
  </si>
  <si>
    <t>Email: richard.m@gtsuk.co.uk</t>
  </si>
  <si>
    <t>SA9 2XH</t>
  </si>
  <si>
    <t>Telephone: 0798 445 5388</t>
  </si>
  <si>
    <t>Laneside House</t>
  </si>
  <si>
    <t>Hackthorpe</t>
  </si>
  <si>
    <t>Penrith</t>
  </si>
  <si>
    <t>Cumbria</t>
  </si>
  <si>
    <t>CA10 2HX</t>
  </si>
  <si>
    <t>Telephone: 01931 712859</t>
  </si>
  <si>
    <t>DJ</t>
  </si>
  <si>
    <t>DC</t>
  </si>
  <si>
    <t>CJ</t>
  </si>
  <si>
    <t>RM</t>
  </si>
  <si>
    <t xml:space="preserve">71 Heol Gwys </t>
  </si>
  <si>
    <t xml:space="preserve">Upper Cwmtwrch </t>
  </si>
  <si>
    <t xml:space="preserve">Swansea </t>
  </si>
  <si>
    <t>2 Union Place</t>
  </si>
  <si>
    <t>Anstruther</t>
  </si>
  <si>
    <t>KY10 3HQ</t>
  </si>
  <si>
    <t>Cathy James</t>
  </si>
  <si>
    <t>GWYNEDD COUNCIL</t>
  </si>
  <si>
    <t>GWN</t>
  </si>
  <si>
    <t>Email: cathryn.j@gtsuk.co.uk</t>
  </si>
  <si>
    <t>Z:\STM\WLS\NWL\GWN\11\GwnpvRR11.xlsx</t>
  </si>
  <si>
    <t>Z:\STM\WLS\NWL\GWN\12\GwnpvRR12draft.xlsx</t>
  </si>
  <si>
    <t>Z:\STM\WLS\NWL\GWN\13\GwnpvRR13r.xlsx</t>
  </si>
  <si>
    <t>Z:\STM\WLS\NWL\GWN\14\GwnpvRR14r.xlsx</t>
  </si>
  <si>
    <t>Z:\STM\WLS\NWL\GWN\15\GwnpvRR15.xlsx</t>
  </si>
  <si>
    <t>Z:\STM\WLS\NWL\GWN\16\GwnpvRR16.xlsx</t>
  </si>
  <si>
    <t>Z:\STM\WLS\NWL\GWN\17\GwnpvRR17r.xlsx</t>
  </si>
  <si>
    <t>Z:\STM\WLS\NWL\GWN\18\GwnpvRR18rr.xlsx</t>
  </si>
  <si>
    <t>Z:\STM\WLS\NWL\GWN\19\GwnpvRR19.xlsx</t>
  </si>
  <si>
    <t>Z:\STM\WLS\NWL\GWN\20\GwnpvRR20.xlsx</t>
  </si>
  <si>
    <t>Z:\STM\WLS\NWL\GWN\21\GwnpvRR21.xlsx</t>
  </si>
  <si>
    <t>Z:\STM\WLS\NWL\GWN\22\GwnpvRR22.xlsx</t>
  </si>
  <si>
    <t>Gwynedd</t>
  </si>
  <si>
    <t>2011</t>
  </si>
  <si>
    <t>+50 room hotels</t>
  </si>
  <si>
    <t>10-50 room hotels</t>
  </si>
  <si>
    <t>&lt;10 room hotels/others</t>
  </si>
  <si>
    <t/>
  </si>
  <si>
    <t>Serviced Total</t>
  </si>
  <si>
    <t>Self catering</t>
  </si>
  <si>
    <t>Static caravans/chalets</t>
  </si>
  <si>
    <t>Touring caravans/camping</t>
  </si>
  <si>
    <t>Not-for-hire static</t>
  </si>
  <si>
    <t xml:space="preserve">Non-Serviced Accommodation Total </t>
  </si>
  <si>
    <t>2012</t>
  </si>
  <si>
    <t>2013</t>
  </si>
  <si>
    <t>2014</t>
  </si>
  <si>
    <t>2015</t>
  </si>
  <si>
    <t>2016</t>
  </si>
  <si>
    <t>2017</t>
  </si>
  <si>
    <t>Airbnb</t>
  </si>
  <si>
    <t>2018</t>
  </si>
  <si>
    <t>2019</t>
  </si>
  <si>
    <t>2020</t>
  </si>
  <si>
    <t>2021</t>
  </si>
  <si>
    <t>2022</t>
  </si>
  <si>
    <t>Direct and Total Employment by Month, Year and Visitor Type for the Period 2011 to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</si>
</sst>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164" formatCode="_(* #,##0.00_);_(* \(#,##0.00\);_(* &quot;-&quot;??_);_(@_)"/>
    <numFmt numFmtId="165" formatCode="0.0%"/>
    <numFmt numFmtId="166" formatCode="#,##0;[Red]\-#,##0;;@"/>
    <numFmt numFmtId="167" formatCode="###0;[Red]\-###0;;@"/>
    <numFmt numFmtId="168" formatCode="#,##0.0;[Red]\-#,##0.0;;@"/>
    <numFmt numFmtId="169" formatCode="0.000"/>
    <numFmt numFmtId="170" formatCode="#,##0.0"/>
    <numFmt numFmtId="171" formatCode="#,##0.0,"/>
    <numFmt numFmtId="172" formatCode="#,##0.00,"/>
    <numFmt numFmtId="173" formatCode=";;;"/>
    <numFmt numFmtId="174" formatCode="#,##0.000,,"/>
    <numFmt numFmtId="175" formatCode="_-* #,##0_-;\-* #,##0_-;_-* &quot;-&quot;??_-;_-@_-"/>
    <numFmt numFmtId="176" formatCode="0.0"/>
    <numFmt numFmtId="177" formatCode="dd\-mmm\-yyyy"/>
    <numFmt numFmtId="178" formatCode="\+#,##0;[Red]\-#,##0;#,##0"/>
  </numFmts>
  <fonts count="60" x14ac:knownFonts="1">
    <font>
      <sz val="10"/>
      <color theme="1"/>
      <name val="Calibri"/>
      <family val="2"/>
    </font>
    <font>
      <sz val="11"/>
      <color theme="1"/>
      <name val="Calibri"/>
      <family val="2"/>
      <scheme val="minor"/>
    </font>
    <font>
      <b/>
      <sz val="10"/>
      <color theme="1"/>
      <name val="Calibri"/>
      <family val="2"/>
    </font>
    <font>
      <b/>
      <sz val="12"/>
      <color theme="0"/>
      <name val="Calibri"/>
      <family val="2"/>
    </font>
    <font>
      <b/>
      <i/>
      <sz val="10"/>
      <name val="Calibri"/>
      <family val="2"/>
    </font>
    <font>
      <i/>
      <sz val="10"/>
      <color theme="0"/>
      <name val="Calibri"/>
      <family val="2"/>
    </font>
    <font>
      <sz val="10"/>
      <color theme="1"/>
      <name val="Calibri"/>
      <family val="2"/>
    </font>
    <font>
      <sz val="10"/>
      <color theme="0"/>
      <name val="Calibri"/>
      <family val="2"/>
    </font>
    <font>
      <sz val="10"/>
      <name val="Calibri"/>
      <family val="2"/>
    </font>
    <font>
      <sz val="10"/>
      <color theme="4" tint="-0.499984740745262"/>
      <name val="Calibri"/>
      <family val="2"/>
    </font>
    <font>
      <sz val="10"/>
      <name val="Arial"/>
      <family val="2"/>
    </font>
    <font>
      <b/>
      <sz val="12"/>
      <name val="Arial"/>
      <family val="2"/>
    </font>
    <font>
      <b/>
      <sz val="10"/>
      <name val="Calibri"/>
      <family val="2"/>
    </font>
    <font>
      <b/>
      <sz val="14"/>
      <color theme="0"/>
      <name val="Calibri"/>
      <family val="2"/>
    </font>
    <font>
      <sz val="16"/>
      <color theme="1"/>
      <name val="Calibri"/>
      <family val="2"/>
    </font>
    <font>
      <b/>
      <i/>
      <sz val="10"/>
      <color theme="1"/>
      <name val="Calibri"/>
      <family val="2"/>
    </font>
    <font>
      <sz val="9"/>
      <color theme="1"/>
      <name val="Calibri"/>
      <family val="2"/>
    </font>
    <font>
      <sz val="9"/>
      <name val="Calibri"/>
      <family val="2"/>
    </font>
    <font>
      <b/>
      <i/>
      <sz val="11"/>
      <name val="Calibri"/>
      <family val="2"/>
    </font>
    <font>
      <sz val="12"/>
      <color theme="0"/>
      <name val="Calibri"/>
      <family val="2"/>
    </font>
    <font>
      <b/>
      <sz val="20"/>
      <color theme="4" tint="-0.499984740745262"/>
      <name val="Calibri"/>
      <family val="2"/>
    </font>
    <font>
      <sz val="8"/>
      <color theme="1"/>
      <name val="Calibri"/>
      <family val="2"/>
      <scheme val="minor"/>
    </font>
    <font>
      <b/>
      <sz val="9"/>
      <color theme="0"/>
      <name val="Calibri"/>
      <family val="2"/>
      <scheme val="minor"/>
    </font>
    <font>
      <sz val="8"/>
      <color theme="0" tint="-0.34998626667073579"/>
      <name val="Calibri"/>
      <family val="2"/>
      <scheme val="minor"/>
    </font>
    <font>
      <b/>
      <sz val="9"/>
      <color theme="1"/>
      <name val="Calibri"/>
      <family val="2"/>
      <scheme val="minor"/>
    </font>
    <font>
      <sz val="9"/>
      <color theme="1"/>
      <name val="Calibri"/>
      <family val="2"/>
      <scheme val="minor"/>
    </font>
    <font>
      <sz val="9"/>
      <name val="Calibri"/>
      <family val="2"/>
      <scheme val="minor"/>
    </font>
    <font>
      <b/>
      <sz val="9"/>
      <name val="Calibri"/>
      <family val="2"/>
      <scheme val="minor"/>
    </font>
    <font>
      <sz val="5"/>
      <color theme="0" tint="-0.34998626667073579"/>
      <name val="Calibri"/>
      <family val="2"/>
      <scheme val="minor"/>
    </font>
    <font>
      <sz val="9"/>
      <color theme="0"/>
      <name val="Calibri"/>
      <family val="2"/>
      <scheme val="minor"/>
    </font>
    <font>
      <b/>
      <sz val="10"/>
      <color theme="0"/>
      <name val="Calibri"/>
      <family val="2"/>
      <scheme val="minor"/>
    </font>
    <font>
      <b/>
      <sz val="10"/>
      <color theme="1"/>
      <name val="Calibri"/>
      <family val="2"/>
      <scheme val="minor"/>
    </font>
    <font>
      <b/>
      <sz val="10"/>
      <name val="Calibri"/>
      <family val="2"/>
      <scheme val="minor"/>
    </font>
    <font>
      <b/>
      <sz val="8"/>
      <color theme="0"/>
      <name val="Calibri"/>
      <family val="2"/>
      <scheme val="minor"/>
    </font>
    <font>
      <i/>
      <sz val="8"/>
      <color theme="1" tint="0.14999847407452621"/>
      <name val="Calibri"/>
      <family val="2"/>
      <scheme val="minor"/>
    </font>
    <font>
      <b/>
      <sz val="8"/>
      <name val="Calibri"/>
      <family val="2"/>
      <scheme val="minor"/>
    </font>
    <font>
      <sz val="8"/>
      <name val="Calibri"/>
      <family val="2"/>
      <scheme val="minor"/>
    </font>
    <font>
      <b/>
      <sz val="18"/>
      <color theme="4" tint="-0.499984740745262"/>
      <name val="Calibri"/>
      <family val="2"/>
    </font>
    <font>
      <b/>
      <sz val="12"/>
      <name val="Calibri"/>
      <family val="2"/>
      <scheme val="minor"/>
    </font>
    <font>
      <sz val="10"/>
      <name val="Calibri"/>
      <family val="2"/>
      <scheme val="minor"/>
    </font>
    <font>
      <b/>
      <sz val="14"/>
      <color theme="1"/>
      <name val="Calibri"/>
      <family val="2"/>
      <scheme val="minor"/>
    </font>
    <font>
      <sz val="14"/>
      <color theme="0"/>
      <name val="Calibri"/>
      <family val="2"/>
      <scheme val="minor"/>
    </font>
    <font>
      <i/>
      <sz val="8"/>
      <name val="Calibri"/>
      <family val="2"/>
      <scheme val="minor"/>
    </font>
    <font>
      <sz val="8"/>
      <color theme="0"/>
      <name val="Calibri"/>
      <family val="2"/>
      <scheme val="minor"/>
    </font>
    <font>
      <i/>
      <sz val="11"/>
      <color theme="0"/>
      <name val="Calibri"/>
      <family val="2"/>
      <scheme val="minor"/>
    </font>
    <font>
      <b/>
      <sz val="8"/>
      <color theme="1"/>
      <name val="Calibri"/>
      <family val="2"/>
      <scheme val="minor"/>
    </font>
    <font>
      <sz val="10"/>
      <color theme="0"/>
      <name val="Calibri"/>
      <family val="2"/>
      <scheme val="minor"/>
    </font>
    <font>
      <b/>
      <sz val="11"/>
      <color theme="0"/>
      <name val="Calibri"/>
      <family val="2"/>
      <scheme val="minor"/>
    </font>
    <font>
      <b/>
      <sz val="12"/>
      <color theme="0"/>
      <name val="Calibri"/>
      <family val="2"/>
      <scheme val="minor"/>
    </font>
    <font>
      <b/>
      <sz val="16"/>
      <color theme="1" tint="0.34998626667073579"/>
      <name val="Calibri"/>
      <family val="2"/>
      <scheme val="minor"/>
    </font>
    <font>
      <b/>
      <i/>
      <sz val="16"/>
      <color theme="1" tint="0.34998626667073579"/>
      <name val="Calibri"/>
      <family val="2"/>
      <scheme val="minor"/>
    </font>
    <font>
      <i/>
      <sz val="14"/>
      <color theme="1" tint="0.34998626667073579"/>
      <name val="Calibri"/>
      <family val="2"/>
      <scheme val="minor"/>
    </font>
    <font>
      <i/>
      <sz val="10"/>
      <color theme="1" tint="0.34998626667073579"/>
      <name val="Calibri"/>
      <family val="2"/>
      <scheme val="minor"/>
    </font>
    <font>
      <b/>
      <i/>
      <sz val="9"/>
      <color theme="1" tint="0.34998626667073579"/>
      <name val="Calibri"/>
      <family val="2"/>
      <scheme val="minor"/>
    </font>
    <font>
      <sz val="10"/>
      <color theme="1"/>
      <name val="Calibri"/>
      <family val="2"/>
      <scheme val="minor"/>
    </font>
    <font>
      <b/>
      <sz val="12"/>
      <color theme="1" tint="0.34998626667073579"/>
      <name val="Calibri"/>
      <family val="2"/>
      <scheme val="minor"/>
    </font>
    <font>
      <sz val="9"/>
      <color rgb="FFFFFF00"/>
      <name val="Calibri"/>
      <family val="2"/>
      <scheme val="minor"/>
    </font>
    <font>
      <sz val="9"/>
      <color rgb="FF002060"/>
      <name val="Calibri"/>
      <family val="2"/>
      <scheme val="minor"/>
    </font>
    <font>
      <b/>
      <sz val="9"/>
      <color rgb="FF002060"/>
      <name val="Calibri"/>
      <family val="2"/>
      <scheme val="minor"/>
    </font>
    <font>
      <b/>
      <sz val="8"/>
      <color rgb="FF002060"/>
      <name val="Calibri"/>
      <family val="2"/>
      <scheme val="minor"/>
    </font>
  </fonts>
  <fills count="47">
    <fill>
      <patternFill patternType="none"/>
    </fill>
    <fill>
      <patternFill patternType="gray125"/>
    </fill>
    <fill>
      <patternFill patternType="solid">
        <fgColor theme="0"/>
        <bgColor indexed="64"/>
      </patternFill>
    </fill>
    <fill>
      <patternFill patternType="solid">
        <fgColor theme="4" tint="0.59999389629810485"/>
        <bgColor indexed="64"/>
      </patternFill>
    </fill>
    <fill>
      <patternFill patternType="solid">
        <fgColor theme="4" tint="0.39997558519241921"/>
        <bgColor indexed="64"/>
      </patternFill>
    </fill>
    <fill>
      <patternFill patternType="solid">
        <fgColor theme="4" tint="-0.249977111117893"/>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4" tint="-0.499984740745262"/>
        <bgColor indexed="64"/>
      </patternFill>
    </fill>
    <fill>
      <patternFill patternType="solid">
        <fgColor rgb="FFFFFF00"/>
        <bgColor indexed="64"/>
      </patternFill>
    </fill>
    <fill>
      <patternFill patternType="solid">
        <fgColor theme="4" tint="0.79998168889431442"/>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theme="4"/>
        <bgColor indexed="64"/>
      </patternFill>
    </fill>
    <fill>
      <patternFill patternType="solid">
        <fgColor theme="6" tint="-0.249977111117893"/>
        <bgColor indexed="64"/>
      </patternFill>
    </fill>
    <fill>
      <patternFill patternType="solid">
        <fgColor theme="6" tint="0.39997558519241921"/>
        <bgColor indexed="64"/>
      </patternFill>
    </fill>
    <fill>
      <patternFill patternType="solid">
        <fgColor theme="6"/>
        <bgColor indexed="64"/>
      </patternFill>
    </fill>
    <fill>
      <patternFill patternType="solid">
        <fgColor theme="6" tint="0.59999389629810485"/>
        <bgColor indexed="64"/>
      </patternFill>
    </fill>
    <fill>
      <patternFill patternType="solid">
        <fgColor theme="1" tint="0.34998626667073579"/>
        <bgColor indexed="64"/>
      </patternFill>
    </fill>
    <fill>
      <patternFill patternType="solid">
        <fgColor theme="0" tint="-0.34998626667073579"/>
        <bgColor indexed="64"/>
      </patternFill>
    </fill>
    <fill>
      <patternFill patternType="solid">
        <fgColor theme="0" tint="-0.499984740745262"/>
        <bgColor indexed="64"/>
      </patternFill>
    </fill>
    <fill>
      <patternFill patternType="solid">
        <fgColor theme="0" tint="-0.249977111117893"/>
        <bgColor indexed="64"/>
      </patternFill>
    </fill>
    <fill>
      <patternFill patternType="solid">
        <fgColor theme="1" tint="0.249977111117893"/>
        <bgColor indexed="64"/>
      </patternFill>
    </fill>
    <fill>
      <patternFill patternType="solid">
        <fgColor theme="9" tint="0.39997558519241921"/>
        <bgColor indexed="64"/>
      </patternFill>
    </fill>
    <fill>
      <patternFill patternType="solid">
        <fgColor rgb="FF00B050"/>
        <bgColor indexed="64"/>
      </patternFill>
    </fill>
    <fill>
      <patternFill patternType="solid">
        <fgColor rgb="FFFF0000"/>
        <bgColor indexed="64"/>
      </patternFill>
    </fill>
    <fill>
      <patternFill patternType="solid">
        <fgColor rgb="FFFFC000"/>
        <bgColor indexed="64"/>
      </patternFill>
    </fill>
    <fill>
      <patternFill patternType="solid">
        <fgColor theme="1" tint="0.499984740745262"/>
        <bgColor indexed="64"/>
      </patternFill>
    </fill>
    <fill>
      <patternFill patternType="solid">
        <fgColor theme="7"/>
        <bgColor indexed="64"/>
      </patternFill>
    </fill>
    <fill>
      <patternFill patternType="solid">
        <fgColor theme="9"/>
        <bgColor indexed="64"/>
      </patternFill>
    </fill>
    <fill>
      <patternFill patternType="solid">
        <fgColor rgb="FF002060"/>
        <bgColor indexed="64"/>
      </patternFill>
    </fill>
    <fill>
      <patternFill patternType="solid">
        <fgColor theme="3"/>
        <bgColor indexed="64"/>
      </patternFill>
    </fill>
    <fill>
      <patternFill patternType="solid">
        <fgColor theme="9" tint="0.59999389629810485"/>
        <bgColor indexed="64"/>
      </patternFill>
    </fill>
    <fill>
      <patternFill patternType="solid">
        <fgColor theme="1" tint="0.14999847407452621"/>
        <bgColor indexed="64"/>
      </patternFill>
    </fill>
    <fill>
      <patternFill patternType="solid">
        <fgColor theme="5"/>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theme="7" tint="0.79998168889431442"/>
        <bgColor indexed="64"/>
      </patternFill>
    </fill>
    <fill>
      <patternFill patternType="solid">
        <fgColor theme="3" tint="-0.499984740745262"/>
        <bgColor indexed="64"/>
      </patternFill>
    </fill>
    <fill>
      <patternFill patternType="solid">
        <fgColor theme="3" tint="0.79998168889431442"/>
        <bgColor indexed="64"/>
      </patternFill>
    </fill>
    <fill>
      <patternFill patternType="solid">
        <fgColor theme="7" tint="-0.249977111117893"/>
        <bgColor indexed="64"/>
      </patternFill>
    </fill>
    <fill>
      <patternFill patternType="solid">
        <fgColor theme="7" tint="-0.499984740745262"/>
        <bgColor indexed="64"/>
      </patternFill>
    </fill>
    <fill>
      <patternFill patternType="solid">
        <fgColor theme="6" tint="-0.499984740745262"/>
        <bgColor indexed="64"/>
      </patternFill>
    </fill>
    <fill>
      <patternFill patternType="solid">
        <fgColor rgb="FF00B0F0"/>
        <bgColor indexed="64"/>
      </patternFill>
    </fill>
    <fill>
      <patternFill patternType="solid">
        <fgColor rgb="FFFABF8F"/>
        <bgColor indexed="64"/>
      </patternFill>
    </fill>
    <fill>
      <patternFill patternType="solid">
        <fgColor rgb="FF92D050"/>
        <bgColor indexed="64"/>
      </patternFill>
    </fill>
    <fill>
      <patternFill patternType="solid">
        <fgColor theme="3" tint="0.39997558519241921"/>
        <bgColor indexed="64"/>
      </patternFill>
    </fill>
  </fills>
  <borders count="40">
    <border>
      <left/>
      <right/>
      <top/>
      <bottom/>
      <diagonal/>
    </border>
    <border>
      <left style="thin">
        <color indexed="64"/>
      </left>
      <right/>
      <top style="thin">
        <color indexed="64"/>
      </top>
      <bottom/>
      <diagonal/>
    </border>
    <border>
      <left/>
      <right/>
      <top/>
      <bottom style="thin">
        <color indexed="64"/>
      </bottom>
      <diagonal/>
    </border>
    <border>
      <left/>
      <right style="thin">
        <color indexed="64"/>
      </right>
      <top/>
      <bottom/>
      <diagonal/>
    </border>
    <border>
      <left/>
      <right/>
      <top style="thin">
        <color indexed="64"/>
      </top>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style="thin">
        <color indexed="64"/>
      </left>
      <right/>
      <top/>
      <bottom/>
      <diagonal/>
    </border>
    <border>
      <left style="thick">
        <color theme="0"/>
      </left>
      <right style="thick">
        <color theme="0"/>
      </right>
      <top style="thick">
        <color theme="0"/>
      </top>
      <bottom style="thick">
        <color theme="0"/>
      </bottom>
      <diagonal/>
    </border>
    <border>
      <left style="thick">
        <color theme="0"/>
      </left>
      <right/>
      <top style="thick">
        <color theme="0"/>
      </top>
      <bottom style="thick">
        <color theme="0"/>
      </bottom>
      <diagonal/>
    </border>
    <border>
      <left/>
      <right/>
      <top style="thick">
        <color theme="0"/>
      </top>
      <bottom style="thick">
        <color theme="0"/>
      </bottom>
      <diagonal/>
    </border>
    <border>
      <left/>
      <right style="thick">
        <color theme="0"/>
      </right>
      <top style="thick">
        <color theme="0"/>
      </top>
      <bottom style="thick">
        <color theme="0"/>
      </bottom>
      <diagonal/>
    </border>
    <border>
      <left style="thick">
        <color theme="0"/>
      </left>
      <right/>
      <top style="thick">
        <color theme="0"/>
      </top>
      <bottom/>
      <diagonal/>
    </border>
    <border>
      <left/>
      <right/>
      <top style="thick">
        <color theme="0"/>
      </top>
      <bottom/>
      <diagonal/>
    </border>
    <border>
      <left/>
      <right style="thick">
        <color theme="0"/>
      </right>
      <top style="thick">
        <color theme="0"/>
      </top>
      <bottom/>
      <diagonal/>
    </border>
    <border>
      <left style="thick">
        <color theme="0"/>
      </left>
      <right/>
      <top/>
      <bottom style="thick">
        <color theme="0"/>
      </bottom>
      <diagonal/>
    </border>
    <border>
      <left/>
      <right/>
      <top/>
      <bottom style="thick">
        <color theme="0"/>
      </bottom>
      <diagonal/>
    </border>
    <border>
      <left/>
      <right style="thick">
        <color theme="0"/>
      </right>
      <top/>
      <bottom style="thick">
        <color theme="0"/>
      </bottom>
      <diagonal/>
    </border>
    <border>
      <left style="thick">
        <color theme="0"/>
      </left>
      <right/>
      <top/>
      <bottom/>
      <diagonal/>
    </border>
    <border>
      <left/>
      <right style="thick">
        <color theme="0"/>
      </right>
      <top/>
      <bottom/>
      <diagonal/>
    </border>
    <border>
      <left style="thick">
        <color theme="0"/>
      </left>
      <right style="thick">
        <color theme="0"/>
      </right>
      <top/>
      <bottom style="thick">
        <color theme="0"/>
      </bottom>
      <diagonal/>
    </border>
    <border>
      <left style="thick">
        <color theme="0"/>
      </left>
      <right style="thick">
        <color theme="0"/>
      </right>
      <top style="thick">
        <color theme="0"/>
      </top>
      <bottom/>
      <diagonal/>
    </border>
    <border>
      <left style="thick">
        <color theme="0"/>
      </left>
      <right style="thick">
        <color theme="0"/>
      </right>
      <top/>
      <bottom/>
      <diagonal/>
    </border>
    <border>
      <left style="medium">
        <color theme="0"/>
      </left>
      <right style="medium">
        <color theme="0"/>
      </right>
      <top style="medium">
        <color theme="0"/>
      </top>
      <bottom style="medium">
        <color theme="0"/>
      </bottom>
      <diagonal/>
    </border>
    <border>
      <left style="thick">
        <color theme="0"/>
      </left>
      <right/>
      <top style="thick">
        <color theme="0"/>
      </top>
      <bottom style="thin">
        <color indexed="64"/>
      </bottom>
      <diagonal/>
    </border>
    <border>
      <left/>
      <right/>
      <top style="thick">
        <color theme="0"/>
      </top>
      <bottom style="thin">
        <color indexed="64"/>
      </bottom>
      <diagonal/>
    </border>
    <border>
      <left/>
      <right style="thick">
        <color theme="0"/>
      </right>
      <top style="thick">
        <color theme="0"/>
      </top>
      <bottom style="thin">
        <color indexed="64"/>
      </bottom>
      <diagonal/>
    </border>
    <border>
      <left style="thick">
        <color theme="0"/>
      </left>
      <right style="medium">
        <color theme="0"/>
      </right>
      <top style="thick">
        <color theme="0"/>
      </top>
      <bottom style="medium">
        <color theme="0"/>
      </bottom>
      <diagonal/>
    </border>
    <border>
      <left style="medium">
        <color theme="0"/>
      </left>
      <right style="medium">
        <color theme="0"/>
      </right>
      <top style="thick">
        <color theme="0"/>
      </top>
      <bottom style="medium">
        <color theme="0"/>
      </bottom>
      <diagonal/>
    </border>
    <border>
      <left style="medium">
        <color theme="0"/>
      </left>
      <right style="thick">
        <color theme="0"/>
      </right>
      <top style="thick">
        <color theme="0"/>
      </top>
      <bottom style="medium">
        <color theme="0"/>
      </bottom>
      <diagonal/>
    </border>
    <border>
      <left style="thick">
        <color theme="0"/>
      </left>
      <right style="medium">
        <color theme="0"/>
      </right>
      <top style="medium">
        <color theme="0"/>
      </top>
      <bottom style="medium">
        <color theme="0"/>
      </bottom>
      <diagonal/>
    </border>
    <border>
      <left style="medium">
        <color theme="0"/>
      </left>
      <right style="thick">
        <color theme="0"/>
      </right>
      <top style="medium">
        <color theme="0"/>
      </top>
      <bottom style="medium">
        <color theme="0"/>
      </bottom>
      <diagonal/>
    </border>
    <border>
      <left style="thick">
        <color theme="0"/>
      </left>
      <right style="medium">
        <color theme="0"/>
      </right>
      <top style="medium">
        <color theme="0"/>
      </top>
      <bottom style="thick">
        <color theme="0"/>
      </bottom>
      <diagonal/>
    </border>
    <border>
      <left style="medium">
        <color theme="0"/>
      </left>
      <right style="medium">
        <color theme="0"/>
      </right>
      <top style="medium">
        <color theme="0"/>
      </top>
      <bottom style="thick">
        <color theme="0"/>
      </bottom>
      <diagonal/>
    </border>
    <border>
      <left style="medium">
        <color theme="0"/>
      </left>
      <right style="thick">
        <color theme="0"/>
      </right>
      <top style="medium">
        <color theme="0"/>
      </top>
      <bottom style="thick">
        <color theme="0"/>
      </bottom>
      <diagonal/>
    </border>
    <border>
      <left style="thin">
        <color indexed="64"/>
      </left>
      <right/>
      <top/>
      <bottom style="thin">
        <color indexed="64"/>
      </bottom>
      <diagonal/>
    </border>
    <border>
      <left/>
      <right style="medium">
        <color theme="0"/>
      </right>
      <top style="thick">
        <color theme="0"/>
      </top>
      <bottom style="medium">
        <color theme="0"/>
      </bottom>
      <diagonal/>
    </border>
    <border>
      <left/>
      <right style="medium">
        <color theme="0"/>
      </right>
      <top style="medium">
        <color theme="0"/>
      </top>
      <bottom style="thick">
        <color theme="0"/>
      </bottom>
      <diagonal/>
    </border>
  </borders>
  <cellStyleXfs count="13">
    <xf numFmtId="0" fontId="0" fillId="0" borderId="0"/>
    <xf numFmtId="9" fontId="6" fillId="0" borderId="0" applyFont="0" applyFill="0" applyBorder="0" applyAlignment="0" applyProtection="0"/>
    <xf numFmtId="0" fontId="10" fillId="0" borderId="0"/>
    <xf numFmtId="164" fontId="10" fillId="0" borderId="0" applyFont="0" applyFill="0" applyBorder="0" applyAlignment="0" applyProtection="0"/>
    <xf numFmtId="166" fontId="10" fillId="0" borderId="1" applyFont="0" applyFill="0" applyBorder="0" applyAlignment="0"/>
    <xf numFmtId="167" fontId="11" fillId="0" borderId="0" applyFill="0" applyBorder="0" applyAlignment="0"/>
    <xf numFmtId="168" fontId="10" fillId="0" borderId="1" applyFont="0" applyFill="0" applyBorder="0" applyAlignment="0"/>
    <xf numFmtId="164" fontId="6" fillId="0" borderId="0" applyFont="0" applyFill="0" applyBorder="0" applyAlignment="0" applyProtection="0"/>
    <xf numFmtId="0" fontId="1" fillId="0" borderId="0"/>
    <xf numFmtId="9" fontId="1" fillId="0" borderId="0" applyFont="0" applyFill="0" applyBorder="0" applyAlignment="0" applyProtection="0"/>
    <xf numFmtId="164" fontId="1" fillId="0" borderId="0" applyFont="0" applyFill="0" applyBorder="0" applyAlignment="0" applyProtection="0"/>
    <xf numFmtId="3" fontId="10" fillId="0" borderId="0" applyFill="0" applyBorder="0" applyProtection="0"/>
    <xf numFmtId="0" fontId="6" fillId="0" borderId="0"/>
  </cellStyleXfs>
  <cellXfs count="1189">
    <xf numFmtId="0" fontId="0" fillId="0" borderId="0" xfId="0"/>
    <xf numFmtId="0" fontId="0" fillId="2" borderId="0" xfId="0" applyFill="1" applyProtection="1">
      <protection hidden="1"/>
    </xf>
    <xf numFmtId="0" fontId="0" fillId="8" borderId="0" xfId="0" applyFill="1" applyProtection="1">
      <protection hidden="1"/>
    </xf>
    <xf numFmtId="0" fontId="2" fillId="3" borderId="0" xfId="0" applyFont="1" applyFill="1" applyProtection="1">
      <protection hidden="1"/>
    </xf>
    <xf numFmtId="0" fontId="0" fillId="7" borderId="0" xfId="0" applyFill="1" applyProtection="1">
      <protection hidden="1"/>
    </xf>
    <xf numFmtId="0" fontId="2" fillId="3" borderId="0" xfId="0" applyFont="1" applyFill="1" applyAlignment="1" applyProtection="1">
      <alignment horizontal="left"/>
      <protection hidden="1"/>
    </xf>
    <xf numFmtId="169" fontId="0" fillId="2" borderId="0" xfId="0" applyNumberFormat="1" applyFill="1" applyAlignment="1" applyProtection="1">
      <alignment horizontal="center" vertical="center"/>
      <protection hidden="1"/>
    </xf>
    <xf numFmtId="0" fontId="8" fillId="2" borderId="0" xfId="0" applyFont="1" applyFill="1" applyProtection="1">
      <protection hidden="1"/>
    </xf>
    <xf numFmtId="0" fontId="7" fillId="8" borderId="0" xfId="0" applyFont="1" applyFill="1" applyProtection="1">
      <protection hidden="1"/>
    </xf>
    <xf numFmtId="0" fontId="9" fillId="8" borderId="0" xfId="0" applyFont="1" applyFill="1" applyProtection="1">
      <protection hidden="1"/>
    </xf>
    <xf numFmtId="49" fontId="4" fillId="6" borderId="2" xfId="0" applyNumberFormat="1" applyFont="1" applyFill="1" applyBorder="1" applyAlignment="1" applyProtection="1">
      <alignment horizontal="center" vertical="center" wrapText="1"/>
      <protection hidden="1"/>
    </xf>
    <xf numFmtId="0" fontId="4" fillId="6" borderId="2" xfId="0" applyFont="1" applyFill="1" applyBorder="1" applyAlignment="1" applyProtection="1">
      <alignment horizontal="center" vertical="center" wrapText="1"/>
      <protection hidden="1"/>
    </xf>
    <xf numFmtId="0" fontId="3" fillId="5" borderId="2" xfId="0" applyFont="1" applyFill="1" applyBorder="1" applyProtection="1">
      <protection hidden="1"/>
    </xf>
    <xf numFmtId="0" fontId="4" fillId="2" borderId="4" xfId="0" applyFont="1" applyFill="1" applyBorder="1" applyAlignment="1" applyProtection="1">
      <alignment horizontal="center" vertical="center"/>
      <protection hidden="1"/>
    </xf>
    <xf numFmtId="0" fontId="4" fillId="2" borderId="0" xfId="0" applyFont="1" applyFill="1" applyAlignment="1" applyProtection="1">
      <alignment horizontal="center" vertical="center"/>
      <protection hidden="1"/>
    </xf>
    <xf numFmtId="0" fontId="3" fillId="5" borderId="0" xfId="0" applyFont="1" applyFill="1" applyProtection="1">
      <protection hidden="1"/>
    </xf>
    <xf numFmtId="0" fontId="16" fillId="2" borderId="0" xfId="0" applyFont="1" applyFill="1" applyAlignment="1" applyProtection="1">
      <alignment horizontal="left" vertical="center"/>
      <protection hidden="1"/>
    </xf>
    <xf numFmtId="1" fontId="0" fillId="8" borderId="0" xfId="0" applyNumberFormat="1" applyFill="1" applyProtection="1">
      <protection hidden="1"/>
    </xf>
    <xf numFmtId="0" fontId="7" fillId="8" borderId="0" xfId="0" applyFont="1" applyFill="1" applyAlignment="1" applyProtection="1">
      <alignment textRotation="90"/>
      <protection hidden="1"/>
    </xf>
    <xf numFmtId="0" fontId="0" fillId="7" borderId="0" xfId="0" applyFill="1" applyAlignment="1" applyProtection="1">
      <alignment horizontal="left"/>
      <protection hidden="1"/>
    </xf>
    <xf numFmtId="0" fontId="16" fillId="2" borderId="0" xfId="0" applyFont="1" applyFill="1" applyAlignment="1" applyProtection="1">
      <alignment horizontal="left"/>
      <protection hidden="1"/>
    </xf>
    <xf numFmtId="0" fontId="16" fillId="2" borderId="4" xfId="0" applyFont="1" applyFill="1" applyBorder="1" applyAlignment="1" applyProtection="1">
      <alignment horizontal="left" vertical="center"/>
      <protection hidden="1"/>
    </xf>
    <xf numFmtId="0" fontId="0" fillId="2" borderId="0" xfId="0" applyFill="1" applyProtection="1">
      <protection locked="0" hidden="1"/>
    </xf>
    <xf numFmtId="0" fontId="4" fillId="6" borderId="2" xfId="0" applyFont="1" applyFill="1" applyBorder="1" applyAlignment="1" applyProtection="1">
      <alignment vertical="center" wrapText="1"/>
      <protection hidden="1"/>
    </xf>
    <xf numFmtId="0" fontId="18" fillId="6" borderId="7" xfId="0" applyFont="1" applyFill="1" applyBorder="1" applyAlignment="1" applyProtection="1">
      <alignment horizontal="center" vertical="center" wrapText="1"/>
      <protection hidden="1"/>
    </xf>
    <xf numFmtId="0" fontId="16" fillId="2" borderId="0" xfId="0" applyFont="1" applyFill="1" applyAlignment="1" applyProtection="1">
      <alignment horizontal="center"/>
      <protection hidden="1"/>
    </xf>
    <xf numFmtId="0" fontId="16" fillId="2" borderId="6" xfId="0" applyFont="1" applyFill="1" applyBorder="1" applyAlignment="1" applyProtection="1">
      <alignment horizontal="center" vertical="center"/>
      <protection hidden="1"/>
    </xf>
    <xf numFmtId="1" fontId="16" fillId="2" borderId="6" xfId="0" applyNumberFormat="1" applyFont="1" applyFill="1" applyBorder="1" applyAlignment="1" applyProtection="1">
      <alignment horizontal="center" vertical="center" wrapText="1"/>
      <protection hidden="1"/>
    </xf>
    <xf numFmtId="0" fontId="16" fillId="2" borderId="6" xfId="0" applyFont="1" applyFill="1" applyBorder="1" applyAlignment="1" applyProtection="1">
      <alignment horizontal="center" vertical="center" wrapText="1"/>
      <protection hidden="1"/>
    </xf>
    <xf numFmtId="0" fontId="17" fillId="2" borderId="6" xfId="0" applyFont="1" applyFill="1" applyBorder="1" applyAlignment="1" applyProtection="1">
      <alignment horizontal="center" vertical="center"/>
      <protection hidden="1"/>
    </xf>
    <xf numFmtId="0" fontId="4" fillId="8" borderId="0" xfId="0" applyFont="1" applyFill="1" applyAlignment="1" applyProtection="1">
      <alignment vertical="center" wrapText="1"/>
      <protection hidden="1"/>
    </xf>
    <xf numFmtId="1" fontId="8" fillId="2" borderId="0" xfId="0" applyNumberFormat="1" applyFont="1" applyFill="1" applyProtection="1">
      <protection hidden="1"/>
    </xf>
    <xf numFmtId="1" fontId="0" fillId="2" borderId="4" xfId="0" applyNumberFormat="1" applyFill="1" applyBorder="1" applyProtection="1">
      <protection hidden="1"/>
    </xf>
    <xf numFmtId="9" fontId="12" fillId="2" borderId="0" xfId="1" applyFont="1" applyFill="1" applyAlignment="1" applyProtection="1">
      <alignment horizontal="center" vertical="center"/>
      <protection hidden="1"/>
    </xf>
    <xf numFmtId="9" fontId="0" fillId="8" borderId="0" xfId="1" applyFont="1" applyFill="1" applyProtection="1">
      <protection hidden="1"/>
    </xf>
    <xf numFmtId="0" fontId="24" fillId="30" borderId="0" xfId="0" applyFont="1" applyFill="1" applyAlignment="1">
      <alignment horizontal="center" vertical="center"/>
    </xf>
    <xf numFmtId="0" fontId="22" fillId="20" borderId="13" xfId="0" applyFont="1" applyFill="1" applyBorder="1" applyAlignment="1">
      <alignment horizontal="center" vertical="center"/>
    </xf>
    <xf numFmtId="0" fontId="25" fillId="30" borderId="0" xfId="0" applyFont="1" applyFill="1" applyAlignment="1">
      <alignment horizontal="center" vertical="center"/>
    </xf>
    <xf numFmtId="165" fontId="26" fillId="2" borderId="10" xfId="1" applyNumberFormat="1" applyFont="1" applyFill="1" applyBorder="1" applyAlignment="1">
      <alignment horizontal="center" vertical="center"/>
    </xf>
    <xf numFmtId="0" fontId="25" fillId="30" borderId="0" xfId="0" applyFont="1" applyFill="1" applyAlignment="1">
      <alignment vertical="center"/>
    </xf>
    <xf numFmtId="0" fontId="25" fillId="30" borderId="0" xfId="0" applyFont="1" applyFill="1" applyAlignment="1">
      <alignment horizontal="right" vertical="center"/>
    </xf>
    <xf numFmtId="0" fontId="21" fillId="30" borderId="0" xfId="0" applyFont="1" applyFill="1" applyAlignment="1">
      <alignment horizontal="right" vertical="center"/>
    </xf>
    <xf numFmtId="0" fontId="21" fillId="30" borderId="0" xfId="0" applyFont="1" applyFill="1" applyAlignment="1">
      <alignment vertical="center"/>
    </xf>
    <xf numFmtId="0" fontId="25" fillId="6" borderId="0" xfId="0" applyFont="1" applyFill="1" applyAlignment="1">
      <alignment vertical="center"/>
    </xf>
    <xf numFmtId="0" fontId="22" fillId="6" borderId="14" xfId="0" applyFont="1" applyFill="1" applyBorder="1" applyAlignment="1">
      <alignment vertical="center"/>
    </xf>
    <xf numFmtId="0" fontId="22" fillId="6" borderId="15" xfId="0" applyFont="1" applyFill="1" applyBorder="1" applyAlignment="1">
      <alignment vertical="center"/>
    </xf>
    <xf numFmtId="0" fontId="22" fillId="6" borderId="16" xfId="0" applyFont="1" applyFill="1" applyBorder="1" applyAlignment="1">
      <alignment vertical="center"/>
    </xf>
    <xf numFmtId="0" fontId="25" fillId="6" borderId="20" xfId="0" applyFont="1" applyFill="1" applyBorder="1" applyAlignment="1">
      <alignment vertical="center"/>
    </xf>
    <xf numFmtId="0" fontId="25" fillId="6" borderId="21" xfId="0" applyFont="1" applyFill="1" applyBorder="1" applyAlignment="1">
      <alignment vertical="center"/>
    </xf>
    <xf numFmtId="0" fontId="16" fillId="3" borderId="4" xfId="0" applyFont="1" applyFill="1" applyBorder="1" applyAlignment="1" applyProtection="1">
      <alignment horizontal="right"/>
      <protection hidden="1"/>
    </xf>
    <xf numFmtId="0" fontId="25" fillId="27" borderId="17" xfId="0" applyFont="1" applyFill="1" applyBorder="1" applyAlignment="1">
      <alignment vertical="center"/>
    </xf>
    <xf numFmtId="0" fontId="25" fillId="27" borderId="18" xfId="0" applyFont="1" applyFill="1" applyBorder="1" applyAlignment="1">
      <alignment vertical="center"/>
    </xf>
    <xf numFmtId="0" fontId="25" fillId="27" borderId="19" xfId="0" applyFont="1" applyFill="1" applyBorder="1" applyAlignment="1">
      <alignment vertical="center"/>
    </xf>
    <xf numFmtId="0" fontId="25" fillId="30" borderId="14" xfId="0" applyFont="1" applyFill="1" applyBorder="1" applyAlignment="1">
      <alignment vertical="center"/>
    </xf>
    <xf numFmtId="0" fontId="25" fillId="30" borderId="15" xfId="0" applyFont="1" applyFill="1" applyBorder="1" applyAlignment="1">
      <alignment vertical="center"/>
    </xf>
    <xf numFmtId="0" fontId="25" fillId="30" borderId="16" xfId="0" applyFont="1" applyFill="1" applyBorder="1" applyAlignment="1">
      <alignment vertical="center"/>
    </xf>
    <xf numFmtId="0" fontId="23" fillId="2" borderId="18" xfId="0" applyFont="1" applyFill="1" applyBorder="1" applyAlignment="1">
      <alignment vertical="center"/>
    </xf>
    <xf numFmtId="9" fontId="0" fillId="2" borderId="0" xfId="1" applyFont="1" applyFill="1" applyAlignment="1" applyProtection="1">
      <alignment horizontal="center" vertical="center"/>
      <protection hidden="1"/>
    </xf>
    <xf numFmtId="0" fontId="25" fillId="22" borderId="20" xfId="0" applyFont="1" applyFill="1" applyBorder="1" applyAlignment="1">
      <alignment vertical="center"/>
    </xf>
    <xf numFmtId="0" fontId="25" fillId="22" borderId="0" xfId="0" applyFont="1" applyFill="1" applyAlignment="1">
      <alignment vertical="center"/>
    </xf>
    <xf numFmtId="0" fontId="25" fillId="22" borderId="21" xfId="0" applyFont="1" applyFill="1" applyBorder="1" applyAlignment="1">
      <alignment vertical="center"/>
    </xf>
    <xf numFmtId="0" fontId="28" fillId="2" borderId="19" xfId="0" applyFont="1" applyFill="1" applyBorder="1" applyAlignment="1">
      <alignment horizontal="right"/>
    </xf>
    <xf numFmtId="0" fontId="28" fillId="2" borderId="17" xfId="0" applyFont="1" applyFill="1" applyBorder="1"/>
    <xf numFmtId="0" fontId="24" fillId="2" borderId="11" xfId="0" applyFont="1" applyFill="1" applyBorder="1" applyAlignment="1">
      <alignment horizontal="right" vertical="center"/>
    </xf>
    <xf numFmtId="0" fontId="22" fillId="5" borderId="11" xfId="0" applyFont="1" applyFill="1" applyBorder="1" applyAlignment="1">
      <alignment horizontal="center" vertical="center"/>
    </xf>
    <xf numFmtId="0" fontId="22" fillId="13" borderId="11" xfId="0" applyFont="1" applyFill="1" applyBorder="1" applyAlignment="1">
      <alignment horizontal="center" vertical="center"/>
    </xf>
    <xf numFmtId="0" fontId="24" fillId="3" borderId="11" xfId="0" applyFont="1" applyFill="1" applyBorder="1" applyAlignment="1">
      <alignment horizontal="center" vertical="center"/>
    </xf>
    <xf numFmtId="0" fontId="24" fillId="4" borderId="11" xfId="0" applyFont="1" applyFill="1" applyBorder="1" applyAlignment="1">
      <alignment horizontal="center" vertical="center"/>
    </xf>
    <xf numFmtId="9" fontId="26" fillId="3" borderId="22" xfId="1" applyFont="1" applyFill="1" applyBorder="1" applyAlignment="1">
      <alignment horizontal="center" vertical="center"/>
    </xf>
    <xf numFmtId="9" fontId="26" fillId="4" borderId="22" xfId="1" applyFont="1" applyFill="1" applyBorder="1" applyAlignment="1">
      <alignment horizontal="center" vertical="center"/>
    </xf>
    <xf numFmtId="9" fontId="29" fillId="13" borderId="22" xfId="1" applyFont="1" applyFill="1" applyBorder="1" applyAlignment="1">
      <alignment horizontal="center" vertical="center"/>
    </xf>
    <xf numFmtId="9" fontId="29" fillId="5" borderId="22" xfId="1" applyFont="1" applyFill="1" applyBorder="1" applyAlignment="1">
      <alignment horizontal="center" vertical="center"/>
    </xf>
    <xf numFmtId="165" fontId="26" fillId="0" borderId="10" xfId="1" applyNumberFormat="1" applyFont="1" applyBorder="1" applyAlignment="1">
      <alignment horizontal="center" vertical="center"/>
    </xf>
    <xf numFmtId="172" fontId="25" fillId="30" borderId="0" xfId="0" applyNumberFormat="1" applyFont="1" applyFill="1" applyAlignment="1">
      <alignment vertical="center"/>
    </xf>
    <xf numFmtId="1" fontId="24" fillId="7" borderId="10" xfId="0" applyNumberFormat="1" applyFont="1" applyFill="1" applyBorder="1" applyAlignment="1">
      <alignment horizontal="center" vertical="center"/>
    </xf>
    <xf numFmtId="1" fontId="24" fillId="7" borderId="22" xfId="1" applyNumberFormat="1" applyFont="1" applyFill="1" applyBorder="1" applyAlignment="1">
      <alignment horizontal="center" vertical="center"/>
    </xf>
    <xf numFmtId="0" fontId="29" fillId="30" borderId="0" xfId="0" applyFont="1" applyFill="1" applyAlignment="1">
      <alignment vertical="center"/>
    </xf>
    <xf numFmtId="173" fontId="25" fillId="30" borderId="0" xfId="0" applyNumberFormat="1" applyFont="1" applyFill="1" applyAlignment="1">
      <alignment horizontal="right" vertical="center"/>
    </xf>
    <xf numFmtId="9" fontId="26" fillId="0" borderId="10" xfId="1" applyFont="1" applyBorder="1" applyAlignment="1">
      <alignment vertical="center"/>
    </xf>
    <xf numFmtId="2" fontId="26" fillId="0" borderId="10" xfId="1" applyNumberFormat="1" applyFont="1" applyBorder="1" applyAlignment="1">
      <alignment horizontal="center" vertical="center"/>
    </xf>
    <xf numFmtId="0" fontId="0" fillId="3" borderId="2" xfId="0" applyFill="1" applyBorder="1" applyProtection="1">
      <protection hidden="1"/>
    </xf>
    <xf numFmtId="0" fontId="4" fillId="3" borderId="0" xfId="0" applyFont="1" applyFill="1" applyAlignment="1" applyProtection="1">
      <alignment wrapText="1"/>
      <protection hidden="1"/>
    </xf>
    <xf numFmtId="0" fontId="4" fillId="3" borderId="3" xfId="0" applyFont="1" applyFill="1" applyBorder="1" applyAlignment="1" applyProtection="1">
      <alignment wrapText="1"/>
      <protection hidden="1"/>
    </xf>
    <xf numFmtId="0" fontId="4" fillId="2" borderId="9" xfId="0" applyFont="1" applyFill="1" applyBorder="1" applyAlignment="1" applyProtection="1">
      <alignment wrapText="1"/>
      <protection hidden="1"/>
    </xf>
    <xf numFmtId="0" fontId="4" fillId="2" borderId="0" xfId="0" applyFont="1" applyFill="1" applyAlignment="1" applyProtection="1">
      <alignment wrapText="1"/>
      <protection hidden="1"/>
    </xf>
    <xf numFmtId="0" fontId="25" fillId="0" borderId="10" xfId="0" applyFont="1" applyBorder="1" applyAlignment="1">
      <alignment vertical="center"/>
    </xf>
    <xf numFmtId="1" fontId="27" fillId="7" borderId="11" xfId="1" applyNumberFormat="1" applyFont="1" applyFill="1" applyBorder="1" applyAlignment="1">
      <alignment horizontal="right" vertical="center"/>
    </xf>
    <xf numFmtId="0" fontId="34" fillId="2" borderId="17" xfId="0" applyFont="1" applyFill="1" applyBorder="1" applyAlignment="1">
      <alignment vertical="center"/>
    </xf>
    <xf numFmtId="0" fontId="16" fillId="3" borderId="0" xfId="0" applyFont="1" applyFill="1" applyAlignment="1" applyProtection="1">
      <alignment horizontal="right"/>
      <protection hidden="1"/>
    </xf>
    <xf numFmtId="9" fontId="36" fillId="0" borderId="10" xfId="1" applyFont="1" applyBorder="1" applyAlignment="1">
      <alignment vertical="center"/>
    </xf>
    <xf numFmtId="2" fontId="36" fillId="0" borderId="10" xfId="1" applyNumberFormat="1" applyFont="1" applyBorder="1" applyAlignment="1">
      <alignment horizontal="center" vertical="center"/>
    </xf>
    <xf numFmtId="3" fontId="33" fillId="18" borderId="22" xfId="1" applyNumberFormat="1" applyFont="1" applyFill="1" applyBorder="1" applyAlignment="1">
      <alignment horizontal="center" vertical="center"/>
    </xf>
    <xf numFmtId="3" fontId="33" fillId="8" borderId="22" xfId="1" applyNumberFormat="1" applyFont="1" applyFill="1" applyBorder="1" applyAlignment="1">
      <alignment horizontal="center" vertical="center"/>
    </xf>
    <xf numFmtId="174" fontId="29" fillId="30" borderId="0" xfId="0" applyNumberFormat="1" applyFont="1" applyFill="1" applyAlignment="1">
      <alignment vertical="center"/>
    </xf>
    <xf numFmtId="175" fontId="35" fillId="3" borderId="10" xfId="7" applyNumberFormat="1" applyFont="1" applyFill="1" applyBorder="1" applyAlignment="1">
      <alignment horizontal="center" vertical="center"/>
    </xf>
    <xf numFmtId="175" fontId="35" fillId="4" borderId="10" xfId="7" applyNumberFormat="1" applyFont="1" applyFill="1" applyBorder="1" applyAlignment="1">
      <alignment horizontal="center" vertical="center"/>
    </xf>
    <xf numFmtId="175" fontId="33" fillId="13" borderId="10" xfId="7" applyNumberFormat="1" applyFont="1" applyFill="1" applyBorder="1" applyAlignment="1">
      <alignment horizontal="center" vertical="center"/>
    </xf>
    <xf numFmtId="175" fontId="33" fillId="5" borderId="10" xfId="7" applyNumberFormat="1" applyFont="1" applyFill="1" applyBorder="1" applyAlignment="1">
      <alignment horizontal="center" vertical="center"/>
    </xf>
    <xf numFmtId="175" fontId="33" fillId="18" borderId="10" xfId="7" applyNumberFormat="1" applyFont="1" applyFill="1" applyBorder="1" applyAlignment="1">
      <alignment horizontal="center" vertical="center"/>
    </xf>
    <xf numFmtId="0" fontId="20" fillId="0" borderId="10" xfId="0" applyFont="1" applyBorder="1" applyAlignment="1" applyProtection="1">
      <alignment vertical="center"/>
      <protection hidden="1"/>
    </xf>
    <xf numFmtId="1" fontId="13" fillId="8" borderId="0" xfId="11" applyNumberFormat="1" applyFont="1" applyFill="1" applyAlignment="1" applyProtection="1">
      <alignment horizontal="left" vertical="center"/>
      <protection hidden="1"/>
    </xf>
    <xf numFmtId="1" fontId="3" fillId="8" borderId="0" xfId="11" applyNumberFormat="1" applyFont="1" applyFill="1" applyAlignment="1" applyProtection="1">
      <alignment horizontal="left" vertical="center"/>
      <protection hidden="1"/>
    </xf>
    <xf numFmtId="3" fontId="3" fillId="8" borderId="0" xfId="11" applyFont="1" applyFill="1" applyProtection="1">
      <protection hidden="1"/>
    </xf>
    <xf numFmtId="3" fontId="39" fillId="2" borderId="0" xfId="11" applyFont="1" applyFill="1"/>
    <xf numFmtId="175" fontId="25" fillId="30" borderId="0" xfId="0" applyNumberFormat="1" applyFont="1" applyFill="1" applyAlignment="1">
      <alignment vertical="center"/>
    </xf>
    <xf numFmtId="0" fontId="14" fillId="0" borderId="0" xfId="0" applyFont="1" applyAlignment="1" applyProtection="1">
      <alignment horizontal="right"/>
      <protection hidden="1"/>
    </xf>
    <xf numFmtId="0" fontId="2" fillId="0" borderId="0" xfId="0" applyFont="1" applyAlignment="1" applyProtection="1">
      <alignment horizontal="right"/>
      <protection hidden="1"/>
    </xf>
    <xf numFmtId="0" fontId="16" fillId="0" borderId="0" xfId="0" applyFont="1" applyAlignment="1" applyProtection="1">
      <alignment horizontal="right"/>
      <protection hidden="1"/>
    </xf>
    <xf numFmtId="0" fontId="17" fillId="0" borderId="0" xfId="0" applyFont="1" applyAlignment="1" applyProtection="1">
      <alignment horizontal="right"/>
      <protection hidden="1"/>
    </xf>
    <xf numFmtId="0" fontId="0" fillId="0" borderId="18" xfId="0" applyBorder="1" applyAlignment="1" applyProtection="1">
      <alignment horizontal="right"/>
      <protection hidden="1"/>
    </xf>
    <xf numFmtId="0" fontId="25" fillId="30" borderId="0" xfId="0" applyFont="1" applyFill="1" applyAlignment="1" applyProtection="1">
      <alignment horizontal="center" vertical="center"/>
      <protection hidden="1"/>
    </xf>
    <xf numFmtId="0" fontId="25" fillId="30" borderId="0" xfId="0" applyFont="1" applyFill="1" applyAlignment="1" applyProtection="1">
      <alignment vertical="center"/>
      <protection hidden="1"/>
    </xf>
    <xf numFmtId="0" fontId="25" fillId="30" borderId="0" xfId="0" applyFont="1" applyFill="1" applyAlignment="1" applyProtection="1">
      <alignment horizontal="right" vertical="center"/>
      <protection hidden="1"/>
    </xf>
    <xf numFmtId="0" fontId="25" fillId="30" borderId="14" xfId="0" applyFont="1" applyFill="1" applyBorder="1" applyAlignment="1" applyProtection="1">
      <alignment vertical="center"/>
      <protection hidden="1"/>
    </xf>
    <xf numFmtId="0" fontId="25" fillId="30" borderId="15" xfId="0" applyFont="1" applyFill="1" applyBorder="1" applyAlignment="1" applyProtection="1">
      <alignment vertical="center"/>
      <protection hidden="1"/>
    </xf>
    <xf numFmtId="0" fontId="25" fillId="30" borderId="16" xfId="0" applyFont="1" applyFill="1" applyBorder="1" applyAlignment="1" applyProtection="1">
      <alignment vertical="center"/>
      <protection hidden="1"/>
    </xf>
    <xf numFmtId="0" fontId="22" fillId="6" borderId="14" xfId="0" applyFont="1" applyFill="1" applyBorder="1" applyAlignment="1" applyProtection="1">
      <alignment vertical="center"/>
      <protection hidden="1"/>
    </xf>
    <xf numFmtId="0" fontId="22" fillId="6" borderId="15" xfId="0" applyFont="1" applyFill="1" applyBorder="1" applyAlignment="1" applyProtection="1">
      <alignment vertical="center"/>
      <protection hidden="1"/>
    </xf>
    <xf numFmtId="0" fontId="22" fillId="6" borderId="16" xfId="0" applyFont="1" applyFill="1" applyBorder="1" applyAlignment="1" applyProtection="1">
      <alignment vertical="center"/>
      <protection hidden="1"/>
    </xf>
    <xf numFmtId="0" fontId="25" fillId="6" borderId="20" xfId="0" applyFont="1" applyFill="1" applyBorder="1" applyAlignment="1" applyProtection="1">
      <alignment vertical="center"/>
      <protection hidden="1"/>
    </xf>
    <xf numFmtId="0" fontId="25" fillId="6" borderId="0" xfId="0" applyFont="1" applyFill="1" applyAlignment="1" applyProtection="1">
      <alignment vertical="center"/>
      <protection hidden="1"/>
    </xf>
    <xf numFmtId="0" fontId="25" fillId="6" borderId="21" xfId="0" applyFont="1" applyFill="1" applyBorder="1" applyAlignment="1" applyProtection="1">
      <alignment vertical="center"/>
      <protection hidden="1"/>
    </xf>
    <xf numFmtId="0" fontId="25" fillId="6" borderId="17" xfId="0" applyFont="1" applyFill="1" applyBorder="1" applyAlignment="1" applyProtection="1">
      <alignment vertical="center"/>
      <protection hidden="1"/>
    </xf>
    <xf numFmtId="0" fontId="25" fillId="6" borderId="18" xfId="0" applyFont="1" applyFill="1" applyBorder="1" applyAlignment="1" applyProtection="1">
      <alignment vertical="center"/>
      <protection hidden="1"/>
    </xf>
    <xf numFmtId="0" fontId="25" fillId="6" borderId="19" xfId="0" applyFont="1" applyFill="1" applyBorder="1" applyAlignment="1" applyProtection="1">
      <alignment vertical="center"/>
      <protection hidden="1"/>
    </xf>
    <xf numFmtId="0" fontId="24" fillId="30" borderId="0" xfId="0" applyFont="1" applyFill="1" applyAlignment="1" applyProtection="1">
      <alignment horizontal="center" vertical="center"/>
      <protection hidden="1"/>
    </xf>
    <xf numFmtId="0" fontId="40" fillId="30" borderId="0" xfId="0" applyFont="1" applyFill="1" applyAlignment="1" applyProtection="1">
      <alignment horizontal="center" vertical="center"/>
      <protection hidden="1"/>
    </xf>
    <xf numFmtId="0" fontId="24" fillId="0" borderId="10" xfId="0" applyFont="1" applyBorder="1" applyAlignment="1" applyProtection="1">
      <alignment vertical="center"/>
      <protection hidden="1"/>
    </xf>
    <xf numFmtId="0" fontId="22" fillId="0" borderId="10" xfId="0" applyFont="1" applyBorder="1" applyAlignment="1" applyProtection="1">
      <alignment vertical="center" wrapText="1"/>
      <protection hidden="1"/>
    </xf>
    <xf numFmtId="0" fontId="25" fillId="0" borderId="10" xfId="0" applyFont="1" applyBorder="1" applyAlignment="1" applyProtection="1">
      <alignment vertical="center"/>
      <protection hidden="1"/>
    </xf>
    <xf numFmtId="0" fontId="22" fillId="0" borderId="10" xfId="0" applyFont="1" applyBorder="1" applyAlignment="1" applyProtection="1">
      <alignment horizontal="center" vertical="center" wrapText="1"/>
      <protection hidden="1"/>
    </xf>
    <xf numFmtId="0" fontId="24" fillId="0" borderId="10" xfId="0" quotePrefix="1" applyFont="1" applyBorder="1" applyAlignment="1" applyProtection="1">
      <alignment horizontal="center" vertical="center" wrapText="1"/>
      <protection hidden="1"/>
    </xf>
    <xf numFmtId="0" fontId="22" fillId="0" borderId="10" xfId="0" applyFont="1" applyBorder="1" applyAlignment="1" applyProtection="1">
      <alignment horizontal="right" vertical="center"/>
      <protection hidden="1"/>
    </xf>
    <xf numFmtId="0" fontId="22" fillId="0" borderId="10" xfId="0" applyFont="1" applyBorder="1" applyAlignment="1" applyProtection="1">
      <alignment horizontal="center" vertical="center"/>
      <protection hidden="1"/>
    </xf>
    <xf numFmtId="170" fontId="26" fillId="0" borderId="10" xfId="0" applyNumberFormat="1" applyFont="1" applyBorder="1" applyAlignment="1" applyProtection="1">
      <alignment vertical="center"/>
      <protection hidden="1"/>
    </xf>
    <xf numFmtId="165" fontId="26" fillId="0" borderId="10" xfId="1" applyNumberFormat="1" applyFont="1" applyBorder="1" applyAlignment="1" applyProtection="1">
      <alignment horizontal="center" vertical="center"/>
      <protection hidden="1"/>
    </xf>
    <xf numFmtId="170" fontId="26" fillId="0" borderId="14" xfId="0" applyNumberFormat="1" applyFont="1" applyBorder="1" applyAlignment="1" applyProtection="1">
      <alignment vertical="center"/>
      <protection hidden="1"/>
    </xf>
    <xf numFmtId="170" fontId="26" fillId="0" borderId="15" xfId="0" applyNumberFormat="1" applyFont="1" applyBorder="1" applyAlignment="1" applyProtection="1">
      <alignment vertical="center"/>
      <protection hidden="1"/>
    </xf>
    <xf numFmtId="165" fontId="26" fillId="0" borderId="15" xfId="1" applyNumberFormat="1" applyFont="1" applyBorder="1" applyAlignment="1" applyProtection="1">
      <alignment horizontal="center" vertical="center"/>
      <protection hidden="1"/>
    </xf>
    <xf numFmtId="171" fontId="26" fillId="0" borderId="15" xfId="0" applyNumberFormat="1" applyFont="1" applyBorder="1" applyAlignment="1" applyProtection="1">
      <alignment vertical="center"/>
      <protection hidden="1"/>
    </xf>
    <xf numFmtId="165" fontId="26" fillId="0" borderId="16" xfId="1" applyNumberFormat="1" applyFont="1" applyBorder="1" applyAlignment="1" applyProtection="1">
      <alignment horizontal="center" vertical="center"/>
      <protection hidden="1"/>
    </xf>
    <xf numFmtId="171" fontId="26" fillId="0" borderId="10" xfId="0" applyNumberFormat="1" applyFont="1" applyBorder="1" applyAlignment="1" applyProtection="1">
      <alignment vertical="center"/>
      <protection hidden="1"/>
    </xf>
    <xf numFmtId="0" fontId="22" fillId="0" borderId="20" xfId="0" applyFont="1" applyBorder="1" applyAlignment="1" applyProtection="1">
      <alignment vertical="center"/>
      <protection hidden="1"/>
    </xf>
    <xf numFmtId="0" fontId="22" fillId="0" borderId="0" xfId="0" applyFont="1" applyAlignment="1" applyProtection="1">
      <alignment vertical="center"/>
      <protection hidden="1"/>
    </xf>
    <xf numFmtId="0" fontId="24" fillId="0" borderId="0" xfId="0" applyFont="1" applyAlignment="1" applyProtection="1">
      <alignment vertical="center"/>
      <protection hidden="1"/>
    </xf>
    <xf numFmtId="0" fontId="22" fillId="0" borderId="0" xfId="0" applyFont="1" applyAlignment="1" applyProtection="1">
      <alignment vertical="center" wrapText="1"/>
      <protection hidden="1"/>
    </xf>
    <xf numFmtId="0" fontId="22" fillId="0" borderId="21" xfId="0" applyFont="1" applyBorder="1" applyAlignment="1" applyProtection="1">
      <alignment vertical="center" wrapText="1"/>
      <protection hidden="1"/>
    </xf>
    <xf numFmtId="0" fontId="24" fillId="0" borderId="10" xfId="0" applyFont="1" applyBorder="1" applyAlignment="1" applyProtection="1">
      <alignment horizontal="right" vertical="center"/>
      <protection hidden="1"/>
    </xf>
    <xf numFmtId="3" fontId="26" fillId="0" borderId="10" xfId="0" applyNumberFormat="1" applyFont="1" applyBorder="1" applyAlignment="1" applyProtection="1">
      <alignment vertical="center"/>
      <protection hidden="1"/>
    </xf>
    <xf numFmtId="0" fontId="22" fillId="0" borderId="10" xfId="0" applyFont="1" applyBorder="1" applyAlignment="1" applyProtection="1">
      <alignment vertical="center"/>
      <protection hidden="1"/>
    </xf>
    <xf numFmtId="0" fontId="24" fillId="0" borderId="10" xfId="0" applyFont="1" applyBorder="1" applyAlignment="1" applyProtection="1">
      <alignment vertical="center" wrapText="1"/>
      <protection hidden="1"/>
    </xf>
    <xf numFmtId="0" fontId="25" fillId="0" borderId="20" xfId="0" applyFont="1" applyBorder="1" applyAlignment="1" applyProtection="1">
      <alignment vertical="center"/>
      <protection hidden="1"/>
    </xf>
    <xf numFmtId="0" fontId="25" fillId="0" borderId="0" xfId="0" applyFont="1" applyAlignment="1" applyProtection="1">
      <alignment vertical="center"/>
      <protection hidden="1"/>
    </xf>
    <xf numFmtId="0" fontId="24" fillId="0" borderId="20" xfId="0" applyFont="1" applyBorder="1" applyAlignment="1" applyProtection="1">
      <alignment vertical="center"/>
      <protection hidden="1"/>
    </xf>
    <xf numFmtId="0" fontId="22" fillId="0" borderId="20" xfId="0" applyFont="1" applyBorder="1" applyAlignment="1" applyProtection="1">
      <alignment horizontal="center" vertical="center" wrapText="1"/>
      <protection hidden="1"/>
    </xf>
    <xf numFmtId="0" fontId="22" fillId="0" borderId="0" xfId="0" applyFont="1" applyAlignment="1" applyProtection="1">
      <alignment horizontal="center" vertical="center" wrapText="1"/>
      <protection hidden="1"/>
    </xf>
    <xf numFmtId="0" fontId="24" fillId="0" borderId="0" xfId="0" quotePrefix="1" applyFont="1" applyAlignment="1" applyProtection="1">
      <alignment horizontal="center" vertical="center" wrapText="1"/>
      <protection hidden="1"/>
    </xf>
    <xf numFmtId="3" fontId="26" fillId="0" borderId="20" xfId="0" applyNumberFormat="1" applyFont="1" applyBorder="1" applyAlignment="1" applyProtection="1">
      <alignment vertical="center"/>
      <protection hidden="1"/>
    </xf>
    <xf numFmtId="3" fontId="26" fillId="0" borderId="0" xfId="0" applyNumberFormat="1" applyFont="1" applyAlignment="1" applyProtection="1">
      <alignment vertical="center"/>
      <protection hidden="1"/>
    </xf>
    <xf numFmtId="165" fontId="26" fillId="0" borderId="0" xfId="1" applyNumberFormat="1" applyFont="1" applyAlignment="1" applyProtection="1">
      <alignment horizontal="center" vertical="center"/>
      <protection hidden="1"/>
    </xf>
    <xf numFmtId="171" fontId="27" fillId="0" borderId="10" xfId="0" applyNumberFormat="1" applyFont="1" applyBorder="1" applyAlignment="1" applyProtection="1">
      <alignment vertical="center"/>
      <protection hidden="1"/>
    </xf>
    <xf numFmtId="165" fontId="27" fillId="0" borderId="10" xfId="1" applyNumberFormat="1" applyFont="1" applyBorder="1" applyAlignment="1" applyProtection="1">
      <alignment horizontal="center" vertical="center"/>
      <protection hidden="1"/>
    </xf>
    <xf numFmtId="3" fontId="27" fillId="0" borderId="20" xfId="0" applyNumberFormat="1" applyFont="1" applyBorder="1" applyAlignment="1" applyProtection="1">
      <alignment vertical="center"/>
      <protection hidden="1"/>
    </xf>
    <xf numFmtId="3" fontId="27" fillId="0" borderId="0" xfId="0" applyNumberFormat="1" applyFont="1" applyAlignment="1" applyProtection="1">
      <alignment vertical="center"/>
      <protection hidden="1"/>
    </xf>
    <xf numFmtId="165" fontId="27" fillId="0" borderId="0" xfId="1" applyNumberFormat="1" applyFont="1" applyAlignment="1" applyProtection="1">
      <alignment horizontal="center" vertical="center"/>
      <protection hidden="1"/>
    </xf>
    <xf numFmtId="3" fontId="27" fillId="0" borderId="17" xfId="0" applyNumberFormat="1" applyFont="1" applyBorder="1" applyAlignment="1" applyProtection="1">
      <alignment vertical="center"/>
      <protection hidden="1"/>
    </xf>
    <xf numFmtId="3" fontId="27" fillId="0" borderId="18" xfId="0" applyNumberFormat="1" applyFont="1" applyBorder="1" applyAlignment="1" applyProtection="1">
      <alignment vertical="center"/>
      <protection hidden="1"/>
    </xf>
    <xf numFmtId="165" fontId="27" fillId="0" borderId="18" xfId="1" applyNumberFormat="1" applyFont="1" applyBorder="1" applyAlignment="1" applyProtection="1">
      <alignment horizontal="center" vertical="center"/>
      <protection hidden="1"/>
    </xf>
    <xf numFmtId="0" fontId="25" fillId="0" borderId="18" xfId="0" applyFont="1" applyBorder="1" applyAlignment="1" applyProtection="1">
      <alignment vertical="center"/>
      <protection hidden="1"/>
    </xf>
    <xf numFmtId="0" fontId="22" fillId="0" borderId="19" xfId="0" applyFont="1" applyBorder="1" applyAlignment="1" applyProtection="1">
      <alignment vertical="center" wrapText="1"/>
      <protection hidden="1"/>
    </xf>
    <xf numFmtId="0" fontId="21" fillId="30" borderId="0" xfId="0" applyFont="1" applyFill="1" applyAlignment="1" applyProtection="1">
      <alignment horizontal="right" vertical="center"/>
      <protection hidden="1"/>
    </xf>
    <xf numFmtId="0" fontId="28" fillId="2" borderId="17" xfId="0" applyFont="1" applyFill="1" applyBorder="1" applyProtection="1">
      <protection hidden="1"/>
    </xf>
    <xf numFmtId="0" fontId="23" fillId="2" borderId="18" xfId="0" applyFont="1" applyFill="1" applyBorder="1" applyAlignment="1" applyProtection="1">
      <alignment vertical="center"/>
      <protection hidden="1"/>
    </xf>
    <xf numFmtId="0" fontId="28" fillId="2" borderId="19" xfId="0" applyFont="1" applyFill="1" applyBorder="1" applyAlignment="1" applyProtection="1">
      <alignment horizontal="right"/>
      <protection hidden="1"/>
    </xf>
    <xf numFmtId="0" fontId="21" fillId="30" borderId="0" xfId="0" applyFont="1" applyFill="1" applyAlignment="1" applyProtection="1">
      <alignment vertical="center"/>
      <protection hidden="1"/>
    </xf>
    <xf numFmtId="1" fontId="19" fillId="8" borderId="0" xfId="11" applyNumberFormat="1" applyFont="1" applyFill="1" applyAlignment="1" applyProtection="1">
      <alignment horizontal="left" vertical="center"/>
      <protection hidden="1"/>
    </xf>
    <xf numFmtId="3" fontId="19" fillId="8" borderId="0" xfId="11" applyFont="1" applyFill="1" applyProtection="1">
      <protection hidden="1"/>
    </xf>
    <xf numFmtId="3" fontId="19" fillId="8" borderId="0" xfId="11" applyFont="1" applyFill="1" applyAlignment="1" applyProtection="1">
      <alignment horizontal="center" vertical="center"/>
      <protection hidden="1"/>
    </xf>
    <xf numFmtId="3" fontId="7" fillId="8" borderId="0" xfId="11" applyFont="1" applyFill="1" applyProtection="1">
      <protection hidden="1"/>
    </xf>
    <xf numFmtId="3" fontId="7" fillId="8" borderId="0" xfId="11" applyFont="1" applyFill="1" applyAlignment="1" applyProtection="1">
      <alignment horizontal="center" vertical="center"/>
      <protection hidden="1"/>
    </xf>
    <xf numFmtId="3" fontId="38" fillId="13" borderId="2" xfId="11" applyFont="1" applyFill="1" applyBorder="1" applyAlignment="1" applyProtection="1">
      <alignment horizontal="center" vertical="center"/>
      <protection hidden="1"/>
    </xf>
    <xf numFmtId="0" fontId="24" fillId="2" borderId="14" xfId="0" applyFont="1" applyFill="1" applyBorder="1" applyAlignment="1" applyProtection="1">
      <alignment vertical="center"/>
      <protection hidden="1"/>
    </xf>
    <xf numFmtId="0" fontId="25" fillId="2" borderId="0" xfId="0" applyFont="1" applyFill="1" applyAlignment="1" applyProtection="1">
      <alignment vertical="center"/>
      <protection hidden="1"/>
    </xf>
    <xf numFmtId="0" fontId="25" fillId="2" borderId="18" xfId="0" applyFont="1" applyFill="1" applyBorder="1" applyAlignment="1" applyProtection="1">
      <alignment vertical="center"/>
      <protection hidden="1"/>
    </xf>
    <xf numFmtId="0" fontId="24" fillId="3" borderId="11" xfId="0" applyFont="1" applyFill="1" applyBorder="1" applyAlignment="1" applyProtection="1">
      <alignment horizontal="center" vertical="center"/>
      <protection hidden="1"/>
    </xf>
    <xf numFmtId="0" fontId="24" fillId="4" borderId="11" xfId="0" applyFont="1" applyFill="1" applyBorder="1" applyAlignment="1" applyProtection="1">
      <alignment horizontal="center" vertical="center"/>
      <protection hidden="1"/>
    </xf>
    <xf numFmtId="0" fontId="22" fillId="13" borderId="11" xfId="0" applyFont="1" applyFill="1" applyBorder="1" applyAlignment="1" applyProtection="1">
      <alignment horizontal="center" vertical="center"/>
      <protection hidden="1"/>
    </xf>
    <xf numFmtId="0" fontId="22" fillId="5" borderId="11" xfId="0" applyFont="1" applyFill="1" applyBorder="1" applyAlignment="1" applyProtection="1">
      <alignment horizontal="center" vertical="center"/>
      <protection hidden="1"/>
    </xf>
    <xf numFmtId="9" fontId="26" fillId="3" borderId="22" xfId="1" applyFont="1" applyFill="1" applyBorder="1" applyAlignment="1" applyProtection="1">
      <alignment horizontal="center" vertical="center"/>
      <protection hidden="1"/>
    </xf>
    <xf numFmtId="9" fontId="26" fillId="4" borderId="22" xfId="1" applyFont="1" applyFill="1" applyBorder="1" applyAlignment="1" applyProtection="1">
      <alignment horizontal="center" vertical="center"/>
      <protection hidden="1"/>
    </xf>
    <xf numFmtId="9" fontId="29" fillId="13" borderId="22" xfId="1" applyFont="1" applyFill="1" applyBorder="1" applyAlignment="1" applyProtection="1">
      <alignment horizontal="center" vertical="center"/>
      <protection hidden="1"/>
    </xf>
    <xf numFmtId="9" fontId="29" fillId="5" borderId="22" xfId="1" applyFont="1" applyFill="1" applyBorder="1" applyAlignment="1" applyProtection="1">
      <alignment horizontal="center" vertical="center"/>
      <protection hidden="1"/>
    </xf>
    <xf numFmtId="165" fontId="25" fillId="0" borderId="10" xfId="1" applyNumberFormat="1" applyFont="1" applyBorder="1" applyAlignment="1" applyProtection="1">
      <alignment horizontal="center" vertical="center"/>
      <protection hidden="1"/>
    </xf>
    <xf numFmtId="1" fontId="27" fillId="7" borderId="11" xfId="1" applyNumberFormat="1" applyFont="1" applyFill="1" applyBorder="1" applyAlignment="1" applyProtection="1">
      <alignment horizontal="right" vertical="center"/>
      <protection hidden="1"/>
    </xf>
    <xf numFmtId="0" fontId="22" fillId="20" borderId="13" xfId="0" applyFont="1" applyFill="1" applyBorder="1" applyAlignment="1" applyProtection="1">
      <alignment horizontal="center" vertical="center"/>
      <protection hidden="1"/>
    </xf>
    <xf numFmtId="165" fontId="26" fillId="2" borderId="10" xfId="1" applyNumberFormat="1" applyFont="1" applyFill="1" applyBorder="1" applyAlignment="1" applyProtection="1">
      <alignment horizontal="center" vertical="center"/>
      <protection hidden="1"/>
    </xf>
    <xf numFmtId="173" fontId="25" fillId="30" borderId="0" xfId="0" applyNumberFormat="1" applyFont="1" applyFill="1" applyAlignment="1" applyProtection="1">
      <alignment horizontal="right" vertical="center"/>
      <protection hidden="1"/>
    </xf>
    <xf numFmtId="1" fontId="24" fillId="7" borderId="10" xfId="0" applyNumberFormat="1" applyFont="1" applyFill="1" applyBorder="1" applyAlignment="1" applyProtection="1">
      <alignment horizontal="center" vertical="center"/>
      <protection hidden="1"/>
    </xf>
    <xf numFmtId="1" fontId="24" fillId="7" borderId="22" xfId="1" applyNumberFormat="1" applyFont="1" applyFill="1" applyBorder="1" applyAlignment="1" applyProtection="1">
      <alignment horizontal="center" vertical="center"/>
      <protection hidden="1"/>
    </xf>
    <xf numFmtId="2" fontId="26" fillId="0" borderId="10" xfId="1" applyNumberFormat="1" applyFont="1" applyBorder="1" applyAlignment="1" applyProtection="1">
      <alignment horizontal="center" vertical="center"/>
      <protection hidden="1"/>
    </xf>
    <xf numFmtId="0" fontId="24" fillId="2" borderId="11" xfId="0" applyFont="1" applyFill="1" applyBorder="1" applyAlignment="1" applyProtection="1">
      <alignment horizontal="right" vertical="center"/>
      <protection hidden="1"/>
    </xf>
    <xf numFmtId="172" fontId="33" fillId="18" borderId="22" xfId="1" applyNumberFormat="1" applyFont="1" applyFill="1" applyBorder="1" applyAlignment="1" applyProtection="1">
      <alignment horizontal="center" vertical="center"/>
      <protection hidden="1"/>
    </xf>
    <xf numFmtId="172" fontId="33" fillId="8" borderId="22" xfId="1" applyNumberFormat="1" applyFont="1" applyFill="1" applyBorder="1" applyAlignment="1" applyProtection="1">
      <alignment horizontal="center" vertical="center"/>
      <protection hidden="1"/>
    </xf>
    <xf numFmtId="0" fontId="34" fillId="2" borderId="17" xfId="0" applyFont="1" applyFill="1" applyBorder="1" applyAlignment="1" applyProtection="1">
      <alignment vertical="center"/>
      <protection hidden="1"/>
    </xf>
    <xf numFmtId="0" fontId="25" fillId="22" borderId="20" xfId="0" applyFont="1" applyFill="1" applyBorder="1" applyAlignment="1" applyProtection="1">
      <alignment vertical="center"/>
      <protection hidden="1"/>
    </xf>
    <xf numFmtId="0" fontId="25" fillId="22" borderId="0" xfId="0" applyFont="1" applyFill="1" applyAlignment="1" applyProtection="1">
      <alignment vertical="center"/>
      <protection hidden="1"/>
    </xf>
    <xf numFmtId="0" fontId="25" fillId="22" borderId="21" xfId="0" applyFont="1" applyFill="1" applyBorder="1" applyAlignment="1" applyProtection="1">
      <alignment vertical="center"/>
      <protection hidden="1"/>
    </xf>
    <xf numFmtId="0" fontId="25" fillId="27" borderId="17" xfId="0" applyFont="1" applyFill="1" applyBorder="1" applyAlignment="1" applyProtection="1">
      <alignment vertical="center"/>
      <protection hidden="1"/>
    </xf>
    <xf numFmtId="0" fontId="25" fillId="27" borderId="18" xfId="0" applyFont="1" applyFill="1" applyBorder="1" applyAlignment="1" applyProtection="1">
      <alignment vertical="center"/>
      <protection hidden="1"/>
    </xf>
    <xf numFmtId="0" fontId="25" fillId="27" borderId="19" xfId="0" applyFont="1" applyFill="1" applyBorder="1" applyAlignment="1" applyProtection="1">
      <alignment vertical="center"/>
      <protection hidden="1"/>
    </xf>
    <xf numFmtId="1" fontId="24" fillId="7" borderId="22" xfId="0" applyNumberFormat="1" applyFont="1" applyFill="1" applyBorder="1" applyAlignment="1" applyProtection="1">
      <alignment horizontal="center" vertical="center"/>
      <protection hidden="1"/>
    </xf>
    <xf numFmtId="0" fontId="29" fillId="0" borderId="11" xfId="0" applyFont="1" applyBorder="1" applyAlignment="1" applyProtection="1">
      <alignment horizontal="center" vertical="center" wrapText="1"/>
      <protection hidden="1"/>
    </xf>
    <xf numFmtId="0" fontId="29" fillId="0" borderId="22" xfId="0" applyFont="1" applyBorder="1" applyAlignment="1" applyProtection="1">
      <alignment vertical="center" wrapText="1"/>
      <protection hidden="1"/>
    </xf>
    <xf numFmtId="9" fontId="29" fillId="0" borderId="22" xfId="1" applyFont="1" applyBorder="1" applyAlignment="1" applyProtection="1">
      <alignment horizontal="center" vertical="center"/>
      <protection hidden="1"/>
    </xf>
    <xf numFmtId="1" fontId="22" fillId="31" borderId="11" xfId="1" applyNumberFormat="1" applyFont="1" applyFill="1" applyBorder="1" applyAlignment="1" applyProtection="1">
      <alignment horizontal="right" vertical="center"/>
      <protection hidden="1"/>
    </xf>
    <xf numFmtId="3" fontId="29" fillId="0" borderId="10" xfId="1" applyNumberFormat="1" applyFont="1" applyBorder="1" applyAlignment="1" applyProtection="1">
      <alignment horizontal="center" vertical="center"/>
      <protection hidden="1"/>
    </xf>
    <xf numFmtId="10" fontId="29" fillId="0" borderId="10" xfId="0" quotePrefix="1" applyNumberFormat="1" applyFont="1" applyBorder="1" applyAlignment="1" applyProtection="1">
      <alignment vertical="center" wrapText="1"/>
      <protection hidden="1"/>
    </xf>
    <xf numFmtId="2" fontId="29" fillId="0" borderId="10" xfId="1" applyNumberFormat="1" applyFont="1" applyBorder="1" applyAlignment="1" applyProtection="1">
      <alignment horizontal="left" vertical="center"/>
      <protection hidden="1"/>
    </xf>
    <xf numFmtId="172" fontId="25" fillId="30" borderId="0" xfId="0" applyNumberFormat="1" applyFont="1" applyFill="1" applyAlignment="1" applyProtection="1">
      <alignment vertical="center"/>
      <protection hidden="1"/>
    </xf>
    <xf numFmtId="1" fontId="22" fillId="34" borderId="11" xfId="1" applyNumberFormat="1" applyFont="1" applyFill="1" applyBorder="1" applyAlignment="1" applyProtection="1">
      <alignment horizontal="right" vertical="center"/>
      <protection hidden="1"/>
    </xf>
    <xf numFmtId="1" fontId="22" fillId="35" borderId="11" xfId="1" applyNumberFormat="1" applyFont="1" applyFill="1" applyBorder="1" applyAlignment="1" applyProtection="1">
      <alignment horizontal="right" vertical="center"/>
      <protection hidden="1"/>
    </xf>
    <xf numFmtId="0" fontId="22" fillId="13" borderId="11" xfId="0" applyFont="1" applyFill="1" applyBorder="1" applyAlignment="1" applyProtection="1">
      <alignment horizontal="right" vertical="center"/>
      <protection hidden="1"/>
    </xf>
    <xf numFmtId="0" fontId="22" fillId="36" borderId="11" xfId="0" applyFont="1" applyFill="1" applyBorder="1" applyAlignment="1" applyProtection="1">
      <alignment horizontal="right" vertical="center"/>
      <protection hidden="1"/>
    </xf>
    <xf numFmtId="0" fontId="27" fillId="6" borderId="11" xfId="0" applyFont="1" applyFill="1" applyBorder="1" applyAlignment="1" applyProtection="1">
      <alignment horizontal="right" vertical="center"/>
      <protection hidden="1"/>
    </xf>
    <xf numFmtId="0" fontId="22" fillId="19" borderId="11" xfId="0" applyFont="1" applyFill="1" applyBorder="1" applyAlignment="1" applyProtection="1">
      <alignment horizontal="right" vertical="center"/>
      <protection hidden="1"/>
    </xf>
    <xf numFmtId="0" fontId="22" fillId="14" borderId="11" xfId="0" applyFont="1" applyFill="1" applyBorder="1" applyAlignment="1" applyProtection="1">
      <alignment horizontal="right" vertical="center"/>
      <protection hidden="1"/>
    </xf>
    <xf numFmtId="0" fontId="22" fillId="22" borderId="11" xfId="0" applyFont="1" applyFill="1" applyBorder="1" applyAlignment="1" applyProtection="1">
      <alignment horizontal="right" vertical="center"/>
      <protection hidden="1"/>
    </xf>
    <xf numFmtId="3" fontId="29" fillId="0" borderId="23" xfId="1" applyNumberFormat="1" applyFont="1" applyBorder="1" applyAlignment="1" applyProtection="1">
      <alignment horizontal="center" vertical="center"/>
      <protection hidden="1"/>
    </xf>
    <xf numFmtId="0" fontId="22" fillId="0" borderId="11" xfId="0" applyFont="1" applyBorder="1" applyAlignment="1" applyProtection="1">
      <alignment horizontal="right" vertical="center"/>
      <protection hidden="1"/>
    </xf>
    <xf numFmtId="0" fontId="22" fillId="0" borderId="12" xfId="0" applyFont="1" applyBorder="1" applyAlignment="1" applyProtection="1">
      <alignment horizontal="center" vertical="center"/>
      <protection hidden="1"/>
    </xf>
    <xf numFmtId="165" fontId="29" fillId="0" borderId="23" xfId="1" applyNumberFormat="1" applyFont="1" applyBorder="1" applyAlignment="1" applyProtection="1">
      <alignment horizontal="center" vertical="center"/>
      <protection hidden="1"/>
    </xf>
    <xf numFmtId="2" fontId="29" fillId="0" borderId="10" xfId="1" applyNumberFormat="1" applyFont="1" applyBorder="1" applyAlignment="1" applyProtection="1">
      <alignment horizontal="center" vertical="center"/>
      <protection hidden="1"/>
    </xf>
    <xf numFmtId="0" fontId="22" fillId="0" borderId="11" xfId="0" applyFont="1" applyBorder="1" applyAlignment="1" applyProtection="1">
      <alignment horizontal="center" vertical="center" wrapText="1"/>
      <protection hidden="1"/>
    </xf>
    <xf numFmtId="3" fontId="22" fillId="0" borderId="10" xfId="1" applyNumberFormat="1" applyFont="1" applyBorder="1" applyAlignment="1" applyProtection="1">
      <alignment horizontal="center" vertical="center"/>
      <protection hidden="1"/>
    </xf>
    <xf numFmtId="165" fontId="29" fillId="0" borderId="10" xfId="1" applyNumberFormat="1" applyFont="1" applyBorder="1" applyAlignment="1" applyProtection="1">
      <alignment horizontal="center" vertical="center"/>
      <protection hidden="1"/>
    </xf>
    <xf numFmtId="0" fontId="23" fillId="2" borderId="17" xfId="0" applyFont="1" applyFill="1" applyBorder="1" applyAlignment="1" applyProtection="1">
      <alignment vertical="center"/>
      <protection hidden="1"/>
    </xf>
    <xf numFmtId="3" fontId="43" fillId="2" borderId="18" xfId="0" applyNumberFormat="1" applyFont="1" applyFill="1" applyBorder="1" applyAlignment="1" applyProtection="1">
      <alignment vertical="center"/>
      <protection hidden="1"/>
    </xf>
    <xf numFmtId="0" fontId="43" fillId="2" borderId="18" xfId="0" applyFont="1" applyFill="1" applyBorder="1" applyAlignment="1" applyProtection="1">
      <alignment vertical="center"/>
      <protection hidden="1"/>
    </xf>
    <xf numFmtId="0" fontId="43" fillId="2" borderId="19" xfId="0" applyFont="1" applyFill="1" applyBorder="1" applyAlignment="1" applyProtection="1">
      <alignment vertical="center"/>
      <protection hidden="1"/>
    </xf>
    <xf numFmtId="0" fontId="34" fillId="2" borderId="18" xfId="0" applyFont="1" applyFill="1" applyBorder="1" applyAlignment="1" applyProtection="1">
      <alignment vertical="center"/>
      <protection hidden="1"/>
    </xf>
    <xf numFmtId="0" fontId="29" fillId="30" borderId="0" xfId="0" applyFont="1" applyFill="1" applyAlignment="1" applyProtection="1">
      <alignment vertical="center"/>
      <protection hidden="1"/>
    </xf>
    <xf numFmtId="0" fontId="24" fillId="0" borderId="11" xfId="0" applyFont="1" applyBorder="1" applyAlignment="1" applyProtection="1">
      <alignment vertical="center"/>
      <protection hidden="1"/>
    </xf>
    <xf numFmtId="0" fontId="24" fillId="0" borderId="13" xfId="0" applyFont="1" applyBorder="1" applyAlignment="1" applyProtection="1">
      <alignment vertical="center"/>
      <protection hidden="1"/>
    </xf>
    <xf numFmtId="0" fontId="22" fillId="0" borderId="11" xfId="0" applyFont="1" applyBorder="1" applyAlignment="1" applyProtection="1">
      <alignment vertical="center"/>
      <protection hidden="1"/>
    </xf>
    <xf numFmtId="0" fontId="22" fillId="0" borderId="12" xfId="0" applyFont="1" applyBorder="1" applyAlignment="1" applyProtection="1">
      <alignment vertical="center"/>
      <protection hidden="1"/>
    </xf>
    <xf numFmtId="0" fontId="22" fillId="0" borderId="13" xfId="0" applyFont="1" applyBorder="1" applyAlignment="1" applyProtection="1">
      <alignment vertical="center"/>
      <protection hidden="1"/>
    </xf>
    <xf numFmtId="0" fontId="22" fillId="0" borderId="23" xfId="0" applyFont="1" applyBorder="1" applyAlignment="1" applyProtection="1">
      <alignment vertical="center" wrapText="1"/>
      <protection hidden="1"/>
    </xf>
    <xf numFmtId="0" fontId="27" fillId="0" borderId="20" xfId="0" applyFont="1" applyBorder="1" applyAlignment="1" applyProtection="1">
      <alignment vertical="center"/>
      <protection hidden="1"/>
    </xf>
    <xf numFmtId="0" fontId="27" fillId="0" borderId="0" xfId="0" applyFont="1" applyAlignment="1" applyProtection="1">
      <alignment vertical="center"/>
      <protection hidden="1"/>
    </xf>
    <xf numFmtId="0" fontId="27" fillId="0" borderId="21" xfId="0" applyFont="1" applyBorder="1" applyAlignment="1" applyProtection="1">
      <alignment vertical="center"/>
      <protection hidden="1"/>
    </xf>
    <xf numFmtId="0" fontId="24" fillId="0" borderId="12" xfId="0" applyFont="1" applyBorder="1" applyAlignment="1" applyProtection="1">
      <alignment vertical="center"/>
      <protection hidden="1"/>
    </xf>
    <xf numFmtId="0" fontId="22" fillId="0" borderId="11" xfId="0" applyFont="1" applyBorder="1" applyAlignment="1" applyProtection="1">
      <alignment vertical="center" wrapText="1"/>
      <protection hidden="1"/>
    </xf>
    <xf numFmtId="0" fontId="22" fillId="0" borderId="12" xfId="0" applyFont="1" applyBorder="1" applyAlignment="1" applyProtection="1">
      <alignment vertical="center" wrapText="1"/>
      <protection hidden="1"/>
    </xf>
    <xf numFmtId="0" fontId="22" fillId="0" borderId="13" xfId="0" applyFont="1" applyBorder="1" applyAlignment="1" applyProtection="1">
      <alignment vertical="center" wrapText="1"/>
      <protection hidden="1"/>
    </xf>
    <xf numFmtId="0" fontId="22" fillId="0" borderId="24" xfId="0" applyFont="1" applyBorder="1" applyAlignment="1" applyProtection="1">
      <alignment vertical="center" wrapText="1"/>
      <protection hidden="1"/>
    </xf>
    <xf numFmtId="0" fontId="27" fillId="0" borderId="17" xfId="0" applyFont="1" applyBorder="1" applyAlignment="1" applyProtection="1">
      <alignment vertical="center"/>
      <protection hidden="1"/>
    </xf>
    <xf numFmtId="0" fontId="27" fillId="0" borderId="18" xfId="0" applyFont="1" applyBorder="1" applyAlignment="1" applyProtection="1">
      <alignment vertical="center"/>
      <protection hidden="1"/>
    </xf>
    <xf numFmtId="0" fontId="27" fillId="0" borderId="19" xfId="0" applyFont="1" applyBorder="1" applyAlignment="1" applyProtection="1">
      <alignment vertical="center"/>
      <protection hidden="1"/>
    </xf>
    <xf numFmtId="0" fontId="25" fillId="0" borderId="11" xfId="0" applyFont="1" applyBorder="1" applyAlignment="1" applyProtection="1">
      <alignment vertical="center"/>
      <protection hidden="1"/>
    </xf>
    <xf numFmtId="0" fontId="25" fillId="0" borderId="13" xfId="0" applyFont="1" applyBorder="1" applyAlignment="1" applyProtection="1">
      <alignment vertical="center"/>
      <protection hidden="1"/>
    </xf>
    <xf numFmtId="0" fontId="24" fillId="0" borderId="11" xfId="0" applyFont="1" applyBorder="1" applyAlignment="1" applyProtection="1">
      <alignment horizontal="center" vertical="center"/>
      <protection hidden="1"/>
    </xf>
    <xf numFmtId="0" fontId="22" fillId="0" borderId="11" xfId="0" applyFont="1" applyBorder="1" applyAlignment="1" applyProtection="1">
      <alignment horizontal="center" vertical="center"/>
      <protection hidden="1"/>
    </xf>
    <xf numFmtId="0" fontId="22" fillId="0" borderId="22" xfId="0" applyFont="1" applyBorder="1" applyAlignment="1" applyProtection="1">
      <alignment vertical="center" wrapText="1"/>
      <protection hidden="1"/>
    </xf>
    <xf numFmtId="9" fontId="26" fillId="0" borderId="22" xfId="1" applyFont="1" applyBorder="1" applyAlignment="1" applyProtection="1">
      <alignment horizontal="center" vertical="center"/>
      <protection hidden="1"/>
    </xf>
    <xf numFmtId="0" fontId="27" fillId="0" borderId="10" xfId="0" applyFont="1" applyBorder="1" applyAlignment="1" applyProtection="1">
      <alignment vertical="center"/>
      <protection hidden="1"/>
    </xf>
    <xf numFmtId="0" fontId="24" fillId="0" borderId="10" xfId="0" quotePrefix="1" applyFont="1" applyBorder="1" applyAlignment="1" applyProtection="1">
      <alignment vertical="center" textRotation="90" wrapText="1"/>
      <protection hidden="1"/>
    </xf>
    <xf numFmtId="1" fontId="27" fillId="0" borderId="11" xfId="1" applyNumberFormat="1" applyFont="1" applyBorder="1" applyAlignment="1" applyProtection="1">
      <alignment horizontal="right" vertical="center"/>
      <protection hidden="1"/>
    </xf>
    <xf numFmtId="0" fontId="22" fillId="0" borderId="13" xfId="0" applyFont="1" applyBorder="1" applyAlignment="1" applyProtection="1">
      <alignment horizontal="center" vertical="center"/>
      <protection hidden="1"/>
    </xf>
    <xf numFmtId="171" fontId="35" fillId="0" borderId="10" xfId="7" applyNumberFormat="1" applyFont="1" applyBorder="1" applyAlignment="1" applyProtection="1">
      <alignment horizontal="center" vertical="center"/>
      <protection hidden="1"/>
    </xf>
    <xf numFmtId="171" fontId="33" fillId="0" borderId="10" xfId="7" applyNumberFormat="1" applyFont="1" applyBorder="1" applyAlignment="1" applyProtection="1">
      <alignment horizontal="center" vertical="center"/>
      <protection hidden="1"/>
    </xf>
    <xf numFmtId="174" fontId="29" fillId="30" borderId="0" xfId="0" applyNumberFormat="1" applyFont="1" applyFill="1" applyAlignment="1" applyProtection="1">
      <alignment vertical="center"/>
      <protection hidden="1"/>
    </xf>
    <xf numFmtId="171" fontId="35" fillId="0" borderId="12" xfId="7" applyNumberFormat="1" applyFont="1" applyBorder="1" applyAlignment="1" applyProtection="1">
      <alignment horizontal="center" vertical="center"/>
      <protection hidden="1"/>
    </xf>
    <xf numFmtId="171" fontId="33" fillId="0" borderId="12" xfId="7" applyNumberFormat="1" applyFont="1" applyBorder="1" applyAlignment="1" applyProtection="1">
      <alignment horizontal="center" vertical="center"/>
      <protection hidden="1"/>
    </xf>
    <xf numFmtId="171" fontId="33" fillId="0" borderId="11" xfId="7" applyNumberFormat="1" applyFont="1" applyBorder="1" applyAlignment="1" applyProtection="1">
      <alignment horizontal="center" vertical="center"/>
      <protection hidden="1"/>
    </xf>
    <xf numFmtId="165" fontId="26" fillId="0" borderId="12" xfId="1" applyNumberFormat="1" applyFont="1" applyBorder="1" applyAlignment="1" applyProtection="1">
      <alignment horizontal="center" vertical="center"/>
      <protection hidden="1"/>
    </xf>
    <xf numFmtId="171" fontId="33" fillId="0" borderId="13" xfId="7" applyNumberFormat="1" applyFont="1" applyBorder="1" applyAlignment="1" applyProtection="1">
      <alignment horizontal="center" vertical="center"/>
      <protection hidden="1"/>
    </xf>
    <xf numFmtId="171" fontId="35" fillId="0" borderId="18" xfId="7" applyNumberFormat="1" applyFont="1" applyBorder="1" applyAlignment="1" applyProtection="1">
      <alignment horizontal="center" vertical="center"/>
      <protection hidden="1"/>
    </xf>
    <xf numFmtId="171" fontId="33" fillId="0" borderId="18" xfId="7" applyNumberFormat="1" applyFont="1" applyBorder="1" applyAlignment="1" applyProtection="1">
      <alignment horizontal="center" vertical="center"/>
      <protection hidden="1"/>
    </xf>
    <xf numFmtId="171" fontId="33" fillId="0" borderId="19" xfId="7" applyNumberFormat="1" applyFont="1" applyBorder="1" applyAlignment="1" applyProtection="1">
      <alignment horizontal="center" vertical="center"/>
      <protection hidden="1"/>
    </xf>
    <xf numFmtId="0" fontId="24" fillId="14" borderId="17" xfId="0" applyFont="1" applyFill="1" applyBorder="1" applyAlignment="1" applyProtection="1">
      <alignment horizontal="center" vertical="center"/>
      <protection hidden="1"/>
    </xf>
    <xf numFmtId="0" fontId="24" fillId="14" borderId="0" xfId="0" applyFont="1" applyFill="1" applyAlignment="1" applyProtection="1">
      <alignment horizontal="center" vertical="center"/>
      <protection hidden="1"/>
    </xf>
    <xf numFmtId="0" fontId="22" fillId="31" borderId="11" xfId="0" applyFont="1" applyFill="1" applyBorder="1" applyAlignment="1" applyProtection="1">
      <alignment horizontal="center" vertical="center" wrapText="1"/>
      <protection hidden="1"/>
    </xf>
    <xf numFmtId="0" fontId="22" fillId="27" borderId="13" xfId="0" applyFont="1" applyFill="1" applyBorder="1" applyAlignment="1" applyProtection="1">
      <alignment horizontal="center" vertical="center" wrapText="1"/>
      <protection hidden="1"/>
    </xf>
    <xf numFmtId="0" fontId="24" fillId="2" borderId="10" xfId="0" quotePrefix="1" applyFont="1" applyFill="1" applyBorder="1" applyAlignment="1" applyProtection="1">
      <alignment horizontal="center" vertical="center" wrapText="1"/>
      <protection hidden="1"/>
    </xf>
    <xf numFmtId="0" fontId="22" fillId="25" borderId="11" xfId="0" applyFont="1" applyFill="1" applyBorder="1" applyAlignment="1" applyProtection="1">
      <alignment horizontal="right" vertical="center"/>
      <protection hidden="1"/>
    </xf>
    <xf numFmtId="0" fontId="22" fillId="24" borderId="11" xfId="0" applyFont="1" applyFill="1" applyBorder="1" applyAlignment="1" applyProtection="1">
      <alignment horizontal="right" vertical="center"/>
      <protection hidden="1"/>
    </xf>
    <xf numFmtId="0" fontId="22" fillId="4" borderId="11" xfId="0" applyFont="1" applyFill="1" applyBorder="1" applyAlignment="1" applyProtection="1">
      <alignment horizontal="right" vertical="center"/>
      <protection hidden="1"/>
    </xf>
    <xf numFmtId="170" fontId="26" fillId="7" borderId="11" xfId="0" applyNumberFormat="1" applyFont="1" applyFill="1" applyBorder="1" applyAlignment="1" applyProtection="1">
      <alignment vertical="center"/>
      <protection hidden="1"/>
    </xf>
    <xf numFmtId="170" fontId="26" fillId="7" borderId="12" xfId="0" applyNumberFormat="1" applyFont="1" applyFill="1" applyBorder="1" applyAlignment="1" applyProtection="1">
      <alignment vertical="center"/>
      <protection hidden="1"/>
    </xf>
    <xf numFmtId="165" fontId="26" fillId="7" borderId="12" xfId="1" applyNumberFormat="1" applyFont="1" applyFill="1" applyBorder="1" applyAlignment="1" applyProtection="1">
      <alignment horizontal="center" vertical="center"/>
      <protection hidden="1"/>
    </xf>
    <xf numFmtId="165" fontId="26" fillId="7" borderId="13" xfId="1" applyNumberFormat="1" applyFont="1" applyFill="1" applyBorder="1" applyAlignment="1" applyProtection="1">
      <alignment horizontal="center" vertical="center"/>
      <protection hidden="1"/>
    </xf>
    <xf numFmtId="0" fontId="24" fillId="32" borderId="11" xfId="0" applyFont="1" applyFill="1" applyBorder="1" applyAlignment="1" applyProtection="1">
      <alignment horizontal="right" vertical="center"/>
      <protection hidden="1"/>
    </xf>
    <xf numFmtId="3" fontId="26" fillId="10" borderId="10" xfId="0" applyNumberFormat="1" applyFont="1" applyFill="1" applyBorder="1" applyAlignment="1" applyProtection="1">
      <alignment vertical="center"/>
      <protection hidden="1"/>
    </xf>
    <xf numFmtId="3" fontId="26" fillId="6" borderId="10" xfId="0" applyNumberFormat="1" applyFont="1" applyFill="1" applyBorder="1" applyAlignment="1" applyProtection="1">
      <alignment vertical="center"/>
      <protection hidden="1"/>
    </xf>
    <xf numFmtId="0" fontId="24" fillId="23" borderId="11" xfId="0" applyFont="1" applyFill="1" applyBorder="1" applyAlignment="1" applyProtection="1">
      <alignment horizontal="right" vertical="center"/>
      <protection hidden="1"/>
    </xf>
    <xf numFmtId="0" fontId="25" fillId="2" borderId="14" xfId="0" applyFont="1" applyFill="1" applyBorder="1" applyAlignment="1" applyProtection="1">
      <alignment vertical="center"/>
      <protection hidden="1"/>
    </xf>
    <xf numFmtId="0" fontId="25" fillId="2" borderId="15" xfId="0" applyFont="1" applyFill="1" applyBorder="1" applyAlignment="1" applyProtection="1">
      <alignment vertical="center"/>
      <protection hidden="1"/>
    </xf>
    <xf numFmtId="0" fontId="25" fillId="2" borderId="16" xfId="0" applyFont="1" applyFill="1" applyBorder="1" applyAlignment="1" applyProtection="1">
      <alignment vertical="center"/>
      <protection hidden="1"/>
    </xf>
    <xf numFmtId="0" fontId="25" fillId="2" borderId="20" xfId="0" applyFont="1" applyFill="1" applyBorder="1" applyAlignment="1" applyProtection="1">
      <alignment vertical="center"/>
      <protection hidden="1"/>
    </xf>
    <xf numFmtId="0" fontId="25" fillId="2" borderId="21" xfId="0" applyFont="1" applyFill="1" applyBorder="1" applyAlignment="1" applyProtection="1">
      <alignment vertical="center"/>
      <protection hidden="1"/>
    </xf>
    <xf numFmtId="0" fontId="25" fillId="2" borderId="17" xfId="0" applyFont="1" applyFill="1" applyBorder="1" applyAlignment="1" applyProtection="1">
      <alignment vertical="center"/>
      <protection hidden="1"/>
    </xf>
    <xf numFmtId="0" fontId="25" fillId="2" borderId="19" xfId="0" applyFont="1" applyFill="1" applyBorder="1" applyAlignment="1" applyProtection="1">
      <alignment vertical="center"/>
      <protection hidden="1"/>
    </xf>
    <xf numFmtId="0" fontId="24" fillId="2" borderId="17" xfId="0" quotePrefix="1" applyFont="1" applyFill="1" applyBorder="1" applyAlignment="1" applyProtection="1">
      <alignment horizontal="center" vertical="center" wrapText="1"/>
      <protection hidden="1"/>
    </xf>
    <xf numFmtId="0" fontId="24" fillId="2" borderId="22" xfId="0" quotePrefix="1" applyFont="1" applyFill="1" applyBorder="1" applyAlignment="1" applyProtection="1">
      <alignment horizontal="center" vertical="center" wrapText="1"/>
      <protection hidden="1"/>
    </xf>
    <xf numFmtId="165" fontId="27" fillId="2" borderId="10" xfId="1" applyNumberFormat="1" applyFont="1" applyFill="1" applyBorder="1" applyAlignment="1" applyProtection="1">
      <alignment horizontal="center" vertical="center"/>
      <protection hidden="1"/>
    </xf>
    <xf numFmtId="3" fontId="27" fillId="3" borderId="10" xfId="0" applyNumberFormat="1" applyFont="1" applyFill="1" applyBorder="1" applyAlignment="1" applyProtection="1">
      <alignment vertical="center"/>
      <protection hidden="1"/>
    </xf>
    <xf numFmtId="3" fontId="27" fillId="7" borderId="10" xfId="0" applyNumberFormat="1" applyFont="1" applyFill="1" applyBorder="1" applyAlignment="1" applyProtection="1">
      <alignment vertical="center"/>
      <protection hidden="1"/>
    </xf>
    <xf numFmtId="3" fontId="27" fillId="4" borderId="10" xfId="0" applyNumberFormat="1" applyFont="1" applyFill="1" applyBorder="1" applyAlignment="1" applyProtection="1">
      <alignment vertical="center"/>
      <protection hidden="1"/>
    </xf>
    <xf numFmtId="3" fontId="27" fillId="21" borderId="10" xfId="0" applyNumberFormat="1" applyFont="1" applyFill="1" applyBorder="1" applyAlignment="1" applyProtection="1">
      <alignment vertical="center"/>
      <protection hidden="1"/>
    </xf>
    <xf numFmtId="0" fontId="21" fillId="2" borderId="15" xfId="0" applyFont="1" applyFill="1" applyBorder="1" applyAlignment="1" applyProtection="1">
      <alignment vertical="center"/>
      <protection hidden="1"/>
    </xf>
    <xf numFmtId="0" fontId="24" fillId="2" borderId="20" xfId="0" applyFont="1" applyFill="1" applyBorder="1" applyAlignment="1" applyProtection="1">
      <alignment vertical="center"/>
      <protection hidden="1"/>
    </xf>
    <xf numFmtId="0" fontId="24" fillId="2" borderId="0" xfId="0" applyFont="1" applyFill="1" applyAlignment="1" applyProtection="1">
      <alignment vertical="center"/>
      <protection hidden="1"/>
    </xf>
    <xf numFmtId="0" fontId="21" fillId="2" borderId="18" xfId="0" applyFont="1" applyFill="1" applyBorder="1" applyAlignment="1" applyProtection="1">
      <alignment vertical="center"/>
      <protection hidden="1"/>
    </xf>
    <xf numFmtId="0" fontId="24" fillId="2" borderId="20" xfId="0" applyFont="1" applyFill="1" applyBorder="1" applyAlignment="1" applyProtection="1">
      <alignment vertical="center" wrapText="1"/>
      <protection hidden="1"/>
    </xf>
    <xf numFmtId="0" fontId="24" fillId="2" borderId="0" xfId="0" applyFont="1" applyFill="1" applyAlignment="1" applyProtection="1">
      <alignment vertical="center" wrapText="1"/>
      <protection hidden="1"/>
    </xf>
    <xf numFmtId="0" fontId="24" fillId="2" borderId="0" xfId="0" applyFont="1" applyFill="1" applyAlignment="1" applyProtection="1">
      <alignment horizontal="center" vertical="center"/>
      <protection hidden="1"/>
    </xf>
    <xf numFmtId="0" fontId="22" fillId="2" borderId="0" xfId="0" applyFont="1" applyFill="1" applyAlignment="1" applyProtection="1">
      <alignment vertical="center" wrapText="1"/>
      <protection hidden="1"/>
    </xf>
    <xf numFmtId="0" fontId="22" fillId="2" borderId="21" xfId="0" applyFont="1" applyFill="1" applyBorder="1" applyAlignment="1" applyProtection="1">
      <alignment vertical="center" wrapText="1"/>
      <protection hidden="1"/>
    </xf>
    <xf numFmtId="0" fontId="22" fillId="2" borderId="0" xfId="0" applyFont="1" applyFill="1" applyAlignment="1" applyProtection="1">
      <alignment horizontal="center" vertical="center" wrapText="1"/>
      <protection hidden="1"/>
    </xf>
    <xf numFmtId="0" fontId="24" fillId="2" borderId="0" xfId="0" quotePrefix="1" applyFont="1" applyFill="1" applyAlignment="1" applyProtection="1">
      <alignment horizontal="center" vertical="center" wrapText="1"/>
      <protection hidden="1"/>
    </xf>
    <xf numFmtId="0" fontId="24" fillId="2" borderId="21" xfId="0" quotePrefix="1" applyFont="1" applyFill="1" applyBorder="1" applyAlignment="1" applyProtection="1">
      <alignment horizontal="center" vertical="center" wrapText="1"/>
      <protection hidden="1"/>
    </xf>
    <xf numFmtId="0" fontId="22" fillId="2" borderId="20" xfId="0" applyFont="1" applyFill="1" applyBorder="1" applyAlignment="1" applyProtection="1">
      <alignment horizontal="right" vertical="center"/>
      <protection hidden="1"/>
    </xf>
    <xf numFmtId="0" fontId="22" fillId="2" borderId="0" xfId="0" applyFont="1" applyFill="1" applyAlignment="1" applyProtection="1">
      <alignment horizontal="center" vertical="center"/>
      <protection hidden="1"/>
    </xf>
    <xf numFmtId="170" fontId="26" fillId="2" borderId="0" xfId="0" applyNumberFormat="1" applyFont="1" applyFill="1" applyAlignment="1" applyProtection="1">
      <alignment vertical="center"/>
      <protection hidden="1"/>
    </xf>
    <xf numFmtId="165" fontId="26" fillId="2" borderId="0" xfId="1" applyNumberFormat="1" applyFont="1" applyFill="1" applyAlignment="1" applyProtection="1">
      <alignment horizontal="center" vertical="center"/>
      <protection hidden="1"/>
    </xf>
    <xf numFmtId="165" fontId="26" fillId="2" borderId="21" xfId="1" applyNumberFormat="1" applyFont="1" applyFill="1" applyBorder="1" applyAlignment="1" applyProtection="1">
      <alignment horizontal="center" vertical="center"/>
      <protection hidden="1"/>
    </xf>
    <xf numFmtId="171" fontId="26" fillId="2" borderId="0" xfId="0" applyNumberFormat="1" applyFont="1" applyFill="1" applyAlignment="1" applyProtection="1">
      <alignment vertical="center"/>
      <protection hidden="1"/>
    </xf>
    <xf numFmtId="0" fontId="24" fillId="2" borderId="20" xfId="0" applyFont="1" applyFill="1" applyBorder="1" applyAlignment="1" applyProtection="1">
      <alignment horizontal="right" vertical="center"/>
      <protection hidden="1"/>
    </xf>
    <xf numFmtId="3" fontId="26" fillId="2" borderId="0" xfId="0" applyNumberFormat="1" applyFont="1" applyFill="1" applyAlignment="1" applyProtection="1">
      <alignment vertical="center"/>
      <protection hidden="1"/>
    </xf>
    <xf numFmtId="0" fontId="22" fillId="2" borderId="20" xfId="0" applyFont="1" applyFill="1" applyBorder="1" applyAlignment="1" applyProtection="1">
      <alignment vertical="center"/>
      <protection hidden="1"/>
    </xf>
    <xf numFmtId="0" fontId="22" fillId="2" borderId="0" xfId="0" applyFont="1" applyFill="1" applyAlignment="1" applyProtection="1">
      <alignment vertical="center"/>
      <protection hidden="1"/>
    </xf>
    <xf numFmtId="0" fontId="22" fillId="2" borderId="21" xfId="0" applyFont="1" applyFill="1" applyBorder="1" applyAlignment="1" applyProtection="1">
      <alignment vertical="center"/>
      <protection hidden="1"/>
    </xf>
    <xf numFmtId="0" fontId="22" fillId="6" borderId="20" xfId="0" applyFont="1" applyFill="1" applyBorder="1" applyAlignment="1" applyProtection="1">
      <alignment vertical="center"/>
      <protection hidden="1"/>
    </xf>
    <xf numFmtId="0" fontId="22" fillId="6" borderId="0" xfId="0" applyFont="1" applyFill="1" applyAlignment="1" applyProtection="1">
      <alignment vertical="center"/>
      <protection hidden="1"/>
    </xf>
    <xf numFmtId="0" fontId="24" fillId="6" borderId="20" xfId="0" applyFont="1" applyFill="1" applyBorder="1" applyAlignment="1" applyProtection="1">
      <alignment vertical="center"/>
      <protection hidden="1"/>
    </xf>
    <xf numFmtId="0" fontId="24" fillId="6" borderId="0" xfId="0" applyFont="1" applyFill="1" applyAlignment="1" applyProtection="1">
      <alignment vertical="center"/>
      <protection hidden="1"/>
    </xf>
    <xf numFmtId="0" fontId="24" fillId="6" borderId="21" xfId="0" applyFont="1" applyFill="1" applyBorder="1" applyAlignment="1" applyProtection="1">
      <alignment vertical="center"/>
      <protection hidden="1"/>
    </xf>
    <xf numFmtId="0" fontId="22" fillId="6" borderId="0" xfId="0" applyFont="1" applyFill="1" applyAlignment="1" applyProtection="1">
      <alignment horizontal="center" vertical="center" wrapText="1"/>
      <protection hidden="1"/>
    </xf>
    <xf numFmtId="0" fontId="24" fillId="6" borderId="0" xfId="0" quotePrefix="1" applyFont="1" applyFill="1" applyAlignment="1" applyProtection="1">
      <alignment horizontal="center" vertical="center" wrapText="1"/>
      <protection hidden="1"/>
    </xf>
    <xf numFmtId="171" fontId="26" fillId="6" borderId="0" xfId="0" applyNumberFormat="1" applyFont="1" applyFill="1" applyAlignment="1" applyProtection="1">
      <alignment vertical="center"/>
      <protection hidden="1"/>
    </xf>
    <xf numFmtId="165" fontId="26" fillId="6" borderId="0" xfId="1" applyNumberFormat="1" applyFont="1" applyFill="1" applyAlignment="1" applyProtection="1">
      <alignment horizontal="center" vertical="center"/>
      <protection hidden="1"/>
    </xf>
    <xf numFmtId="3" fontId="26" fillId="6" borderId="0" xfId="0" applyNumberFormat="1" applyFont="1" applyFill="1" applyAlignment="1" applyProtection="1">
      <alignment vertical="center"/>
      <protection hidden="1"/>
    </xf>
    <xf numFmtId="0" fontId="25" fillId="21" borderId="20" xfId="0" applyFont="1" applyFill="1" applyBorder="1" applyAlignment="1" applyProtection="1">
      <alignment vertical="center"/>
      <protection hidden="1"/>
    </xf>
    <xf numFmtId="0" fontId="25" fillId="21" borderId="0" xfId="0" applyFont="1" applyFill="1" applyAlignment="1" applyProtection="1">
      <alignment vertical="center"/>
      <protection hidden="1"/>
    </xf>
    <xf numFmtId="171" fontId="27" fillId="21" borderId="0" xfId="0" applyNumberFormat="1" applyFont="1" applyFill="1" applyAlignment="1" applyProtection="1">
      <alignment vertical="center"/>
      <protection hidden="1"/>
    </xf>
    <xf numFmtId="165" fontId="27" fillId="21" borderId="0" xfId="1" applyNumberFormat="1" applyFont="1" applyFill="1" applyAlignment="1" applyProtection="1">
      <alignment horizontal="center" vertical="center"/>
      <protection hidden="1"/>
    </xf>
    <xf numFmtId="0" fontId="22" fillId="21" borderId="0" xfId="0" applyFont="1" applyFill="1" applyAlignment="1" applyProtection="1">
      <alignment vertical="center"/>
      <protection hidden="1"/>
    </xf>
    <xf numFmtId="3" fontId="27" fillId="21" borderId="0" xfId="0" applyNumberFormat="1" applyFont="1" applyFill="1" applyAlignment="1" applyProtection="1">
      <alignment vertical="center"/>
      <protection hidden="1"/>
    </xf>
    <xf numFmtId="0" fontId="25" fillId="21" borderId="21" xfId="0" applyFont="1" applyFill="1" applyBorder="1" applyAlignment="1" applyProtection="1">
      <alignment vertical="center"/>
      <protection hidden="1"/>
    </xf>
    <xf numFmtId="171" fontId="26" fillId="21" borderId="0" xfId="0" applyNumberFormat="1" applyFont="1" applyFill="1" applyAlignment="1" applyProtection="1">
      <alignment vertical="center"/>
      <protection hidden="1"/>
    </xf>
    <xf numFmtId="165" fontId="26" fillId="21" borderId="0" xfId="1" applyNumberFormat="1" applyFont="1" applyFill="1" applyAlignment="1" applyProtection="1">
      <alignment horizontal="center" vertical="center"/>
      <protection hidden="1"/>
    </xf>
    <xf numFmtId="3" fontId="26" fillId="21" borderId="0" xfId="0" applyNumberFormat="1" applyFont="1" applyFill="1" applyAlignment="1" applyProtection="1">
      <alignment vertical="center"/>
      <protection hidden="1"/>
    </xf>
    <xf numFmtId="0" fontId="25" fillId="21" borderId="17" xfId="0" applyFont="1" applyFill="1" applyBorder="1" applyAlignment="1" applyProtection="1">
      <alignment vertical="center"/>
      <protection hidden="1"/>
    </xf>
    <xf numFmtId="0" fontId="25" fillId="21" borderId="18" xfId="0" applyFont="1" applyFill="1" applyBorder="1" applyAlignment="1" applyProtection="1">
      <alignment vertical="center"/>
      <protection hidden="1"/>
    </xf>
    <xf numFmtId="171" fontId="27" fillId="21" borderId="18" xfId="0" applyNumberFormat="1" applyFont="1" applyFill="1" applyBorder="1" applyAlignment="1" applyProtection="1">
      <alignment vertical="center"/>
      <protection hidden="1"/>
    </xf>
    <xf numFmtId="165" fontId="27" fillId="21" borderId="18" xfId="1" applyNumberFormat="1" applyFont="1" applyFill="1" applyBorder="1" applyAlignment="1" applyProtection="1">
      <alignment horizontal="center" vertical="center"/>
      <protection hidden="1"/>
    </xf>
    <xf numFmtId="0" fontId="22" fillId="21" borderId="18" xfId="0" applyFont="1" applyFill="1" applyBorder="1" applyAlignment="1" applyProtection="1">
      <alignment vertical="center"/>
      <protection hidden="1"/>
    </xf>
    <xf numFmtId="3" fontId="27" fillId="21" borderId="18" xfId="0" applyNumberFormat="1" applyFont="1" applyFill="1" applyBorder="1" applyAlignment="1" applyProtection="1">
      <alignment vertical="center"/>
      <protection hidden="1"/>
    </xf>
    <xf numFmtId="0" fontId="25" fillId="21" borderId="19" xfId="0" applyFont="1" applyFill="1" applyBorder="1" applyAlignment="1" applyProtection="1">
      <alignment vertical="center"/>
      <protection hidden="1"/>
    </xf>
    <xf numFmtId="0" fontId="22" fillId="27" borderId="11" xfId="0" applyFont="1" applyFill="1" applyBorder="1" applyAlignment="1" applyProtection="1">
      <alignment horizontal="right" vertical="center"/>
      <protection hidden="1"/>
    </xf>
    <xf numFmtId="171" fontId="33" fillId="0" borderId="10" xfId="1" applyNumberFormat="1" applyFont="1" applyBorder="1" applyAlignment="1" applyProtection="1">
      <alignment horizontal="center" vertical="center"/>
      <protection hidden="1"/>
    </xf>
    <xf numFmtId="0" fontId="31" fillId="26" borderId="14" xfId="0" applyFont="1" applyFill="1" applyBorder="1" applyAlignment="1" applyProtection="1">
      <alignment vertical="center"/>
      <protection hidden="1"/>
    </xf>
    <xf numFmtId="0" fontId="31" fillId="26" borderId="17" xfId="0" applyFont="1" applyFill="1" applyBorder="1" applyAlignment="1" applyProtection="1">
      <alignment vertical="center"/>
      <protection hidden="1"/>
    </xf>
    <xf numFmtId="0" fontId="25" fillId="26" borderId="18" xfId="0" applyFont="1" applyFill="1" applyBorder="1" applyAlignment="1" applyProtection="1">
      <alignment vertical="center"/>
      <protection hidden="1"/>
    </xf>
    <xf numFmtId="0" fontId="24" fillId="26" borderId="18" xfId="0" applyFont="1" applyFill="1" applyBorder="1" applyAlignment="1" applyProtection="1">
      <alignment vertical="center"/>
      <protection hidden="1"/>
    </xf>
    <xf numFmtId="0" fontId="30" fillId="28" borderId="14" xfId="0" applyFont="1" applyFill="1" applyBorder="1" applyAlignment="1" applyProtection="1">
      <alignment vertical="center"/>
      <protection hidden="1"/>
    </xf>
    <xf numFmtId="0" fontId="30" fillId="28" borderId="17" xfId="0" applyFont="1" applyFill="1" applyBorder="1" applyAlignment="1" applyProtection="1">
      <alignment vertical="center"/>
      <protection hidden="1"/>
    </xf>
    <xf numFmtId="0" fontId="46" fillId="28" borderId="18" xfId="0" applyFont="1" applyFill="1" applyBorder="1" applyAlignment="1" applyProtection="1">
      <alignment vertical="center"/>
      <protection hidden="1"/>
    </xf>
    <xf numFmtId="0" fontId="30" fillId="28" borderId="18" xfId="0" applyFont="1" applyFill="1" applyBorder="1" applyAlignment="1" applyProtection="1">
      <alignment vertical="center"/>
      <protection hidden="1"/>
    </xf>
    <xf numFmtId="0" fontId="30" fillId="13" borderId="14" xfId="0" applyFont="1" applyFill="1" applyBorder="1" applyAlignment="1" applyProtection="1">
      <alignment vertical="center"/>
      <protection hidden="1"/>
    </xf>
    <xf numFmtId="0" fontId="30" fillId="13" borderId="17" xfId="0" applyFont="1" applyFill="1" applyBorder="1" applyAlignment="1" applyProtection="1">
      <alignment vertical="center"/>
      <protection hidden="1"/>
    </xf>
    <xf numFmtId="0" fontId="46" fillId="13" borderId="18" xfId="0" applyFont="1" applyFill="1" applyBorder="1" applyAlignment="1" applyProtection="1">
      <alignment vertical="center"/>
      <protection hidden="1"/>
    </xf>
    <xf numFmtId="0" fontId="30" fillId="13" borderId="18" xfId="0" applyFont="1" applyFill="1" applyBorder="1" applyAlignment="1" applyProtection="1">
      <alignment vertical="center"/>
      <protection hidden="1"/>
    </xf>
    <xf numFmtId="0" fontId="30" fillId="24" borderId="14" xfId="0" applyFont="1" applyFill="1" applyBorder="1" applyAlignment="1" applyProtection="1">
      <alignment vertical="center"/>
      <protection hidden="1"/>
    </xf>
    <xf numFmtId="0" fontId="30" fillId="24" borderId="17" xfId="0" applyFont="1" applyFill="1" applyBorder="1" applyAlignment="1" applyProtection="1">
      <alignment vertical="center"/>
      <protection hidden="1"/>
    </xf>
    <xf numFmtId="0" fontId="46" fillId="24" borderId="18" xfId="0" applyFont="1" applyFill="1" applyBorder="1" applyAlignment="1" applyProtection="1">
      <alignment vertical="center"/>
      <protection hidden="1"/>
    </xf>
    <xf numFmtId="0" fontId="30" fillId="24" borderId="18" xfId="0" applyFont="1" applyFill="1" applyBorder="1" applyAlignment="1" applyProtection="1">
      <alignment vertical="center"/>
      <protection hidden="1"/>
    </xf>
    <xf numFmtId="0" fontId="30" fillId="25" borderId="14" xfId="0" applyFont="1" applyFill="1" applyBorder="1" applyAlignment="1" applyProtection="1">
      <alignment vertical="center"/>
      <protection hidden="1"/>
    </xf>
    <xf numFmtId="0" fontId="30" fillId="25" borderId="17" xfId="0" applyFont="1" applyFill="1" applyBorder="1" applyAlignment="1" applyProtection="1">
      <alignment vertical="center"/>
      <protection hidden="1"/>
    </xf>
    <xf numFmtId="0" fontId="46" fillId="25" borderId="18" xfId="0" applyFont="1" applyFill="1" applyBorder="1" applyAlignment="1" applyProtection="1">
      <alignment vertical="center"/>
      <protection hidden="1"/>
    </xf>
    <xf numFmtId="0" fontId="30" fillId="25" borderId="18" xfId="0" applyFont="1" applyFill="1" applyBorder="1" applyAlignment="1" applyProtection="1">
      <alignment vertical="center"/>
      <protection hidden="1"/>
    </xf>
    <xf numFmtId="0" fontId="25" fillId="26" borderId="15" xfId="0" applyFont="1" applyFill="1" applyBorder="1" applyAlignment="1" applyProtection="1">
      <alignment vertical="center"/>
      <protection hidden="1"/>
    </xf>
    <xf numFmtId="0" fontId="25" fillId="26" borderId="16" xfId="0" applyFont="1" applyFill="1" applyBorder="1" applyAlignment="1" applyProtection="1">
      <alignment vertical="center"/>
      <protection hidden="1"/>
    </xf>
    <xf numFmtId="0" fontId="24" fillId="26" borderId="19" xfId="0" applyFont="1" applyFill="1" applyBorder="1" applyAlignment="1" applyProtection="1">
      <alignment vertical="center"/>
      <protection hidden="1"/>
    </xf>
    <xf numFmtId="0" fontId="46" fillId="25" borderId="15" xfId="0" applyFont="1" applyFill="1" applyBorder="1" applyAlignment="1" applyProtection="1">
      <alignment vertical="center"/>
      <protection hidden="1"/>
    </xf>
    <xf numFmtId="0" fontId="46" fillId="25" borderId="16" xfId="0" applyFont="1" applyFill="1" applyBorder="1" applyAlignment="1" applyProtection="1">
      <alignment vertical="center"/>
      <protection hidden="1"/>
    </xf>
    <xf numFmtId="0" fontId="30" fillId="25" borderId="19" xfId="0" applyFont="1" applyFill="1" applyBorder="1" applyAlignment="1" applyProtection="1">
      <alignment vertical="center"/>
      <protection hidden="1"/>
    </xf>
    <xf numFmtId="0" fontId="46" fillId="24" borderId="15" xfId="0" applyFont="1" applyFill="1" applyBorder="1" applyAlignment="1" applyProtection="1">
      <alignment vertical="center"/>
      <protection hidden="1"/>
    </xf>
    <xf numFmtId="0" fontId="46" fillId="24" borderId="16" xfId="0" applyFont="1" applyFill="1" applyBorder="1" applyAlignment="1" applyProtection="1">
      <alignment vertical="center"/>
      <protection hidden="1"/>
    </xf>
    <xf numFmtId="0" fontId="30" fillId="24" borderId="19" xfId="0" applyFont="1" applyFill="1" applyBorder="1" applyAlignment="1" applyProtection="1">
      <alignment vertical="center"/>
      <protection hidden="1"/>
    </xf>
    <xf numFmtId="0" fontId="46" fillId="13" borderId="15" xfId="0" applyFont="1" applyFill="1" applyBorder="1" applyAlignment="1" applyProtection="1">
      <alignment vertical="center"/>
      <protection hidden="1"/>
    </xf>
    <xf numFmtId="0" fontId="46" fillId="13" borderId="16" xfId="0" applyFont="1" applyFill="1" applyBorder="1" applyAlignment="1" applyProtection="1">
      <alignment vertical="center"/>
      <protection hidden="1"/>
    </xf>
    <xf numFmtId="0" fontId="30" fillId="13" borderId="19" xfId="0" applyFont="1" applyFill="1" applyBorder="1" applyAlignment="1" applyProtection="1">
      <alignment vertical="center"/>
      <protection hidden="1"/>
    </xf>
    <xf numFmtId="0" fontId="46" fillId="28" borderId="15" xfId="0" applyFont="1" applyFill="1" applyBorder="1" applyAlignment="1" applyProtection="1">
      <alignment vertical="center"/>
      <protection hidden="1"/>
    </xf>
    <xf numFmtId="0" fontId="22" fillId="18" borderId="14" xfId="0" applyFont="1" applyFill="1" applyBorder="1" applyAlignment="1" applyProtection="1">
      <alignment vertical="center"/>
      <protection hidden="1"/>
    </xf>
    <xf numFmtId="0" fontId="29" fillId="18" borderId="15" xfId="0" applyFont="1" applyFill="1" applyBorder="1" applyAlignment="1" applyProtection="1">
      <alignment vertical="center"/>
      <protection hidden="1"/>
    </xf>
    <xf numFmtId="0" fontId="22" fillId="18" borderId="17" xfId="0" applyFont="1" applyFill="1" applyBorder="1" applyAlignment="1" applyProtection="1">
      <alignment vertical="center"/>
      <protection hidden="1"/>
    </xf>
    <xf numFmtId="0" fontId="29" fillId="18" borderId="18" xfId="0" applyFont="1" applyFill="1" applyBorder="1" applyAlignment="1" applyProtection="1">
      <alignment vertical="center"/>
      <protection hidden="1"/>
    </xf>
    <xf numFmtId="0" fontId="22" fillId="18" borderId="18" xfId="0" applyFont="1" applyFill="1" applyBorder="1" applyAlignment="1" applyProtection="1">
      <alignment vertical="center"/>
      <protection hidden="1"/>
    </xf>
    <xf numFmtId="0" fontId="24" fillId="23" borderId="14" xfId="0" applyFont="1" applyFill="1" applyBorder="1" applyAlignment="1">
      <alignment vertical="center"/>
    </xf>
    <xf numFmtId="0" fontId="25" fillId="23" borderId="15" xfId="0" applyFont="1" applyFill="1" applyBorder="1" applyAlignment="1">
      <alignment vertical="center"/>
    </xf>
    <xf numFmtId="0" fontId="25" fillId="23" borderId="16" xfId="0" applyFont="1" applyFill="1" applyBorder="1" applyAlignment="1">
      <alignment vertical="center"/>
    </xf>
    <xf numFmtId="0" fontId="24" fillId="23" borderId="17" xfId="0" applyFont="1" applyFill="1" applyBorder="1" applyAlignment="1">
      <alignment vertical="center"/>
    </xf>
    <xf numFmtId="0" fontId="25" fillId="23" borderId="18" xfId="0" applyFont="1" applyFill="1" applyBorder="1" applyAlignment="1">
      <alignment vertical="center"/>
    </xf>
    <xf numFmtId="0" fontId="24" fillId="23" borderId="18" xfId="0" applyFont="1" applyFill="1" applyBorder="1" applyAlignment="1">
      <alignment vertical="center"/>
    </xf>
    <xf numFmtId="0" fontId="24" fillId="23" borderId="19" xfId="0" applyFont="1" applyFill="1" applyBorder="1" applyAlignment="1">
      <alignment vertical="center"/>
    </xf>
    <xf numFmtId="173" fontId="25" fillId="27" borderId="18" xfId="0" applyNumberFormat="1" applyFont="1" applyFill="1" applyBorder="1" applyAlignment="1" applyProtection="1">
      <alignment vertical="center"/>
      <protection hidden="1"/>
    </xf>
    <xf numFmtId="0" fontId="30" fillId="40" borderId="14" xfId="0" applyFont="1" applyFill="1" applyBorder="1" applyAlignment="1" applyProtection="1">
      <alignment vertical="center"/>
      <protection hidden="1"/>
    </xf>
    <xf numFmtId="0" fontId="46" fillId="40" borderId="15" xfId="0" applyFont="1" applyFill="1" applyBorder="1" applyAlignment="1" applyProtection="1">
      <alignment vertical="center"/>
      <protection hidden="1"/>
    </xf>
    <xf numFmtId="0" fontId="30" fillId="40" borderId="17" xfId="0" applyFont="1" applyFill="1" applyBorder="1" applyAlignment="1" applyProtection="1">
      <alignment vertical="center"/>
      <protection hidden="1"/>
    </xf>
    <xf numFmtId="0" fontId="46" fillId="40" borderId="18" xfId="0" applyFont="1" applyFill="1" applyBorder="1" applyAlignment="1" applyProtection="1">
      <alignment vertical="center"/>
      <protection hidden="1"/>
    </xf>
    <xf numFmtId="0" fontId="30" fillId="40" borderId="18" xfId="0" applyFont="1" applyFill="1" applyBorder="1" applyAlignment="1" applyProtection="1">
      <alignment vertical="center"/>
      <protection hidden="1"/>
    </xf>
    <xf numFmtId="0" fontId="22" fillId="0" borderId="0" xfId="0" applyFont="1" applyAlignment="1" applyProtection="1">
      <alignment horizontal="center" vertical="center"/>
      <protection hidden="1"/>
    </xf>
    <xf numFmtId="9" fontId="29" fillId="0" borderId="0" xfId="1" applyFont="1" applyAlignment="1" applyProtection="1">
      <alignment horizontal="center" vertical="center"/>
      <protection hidden="1"/>
    </xf>
    <xf numFmtId="9" fontId="29" fillId="0" borderId="21" xfId="1" applyFont="1" applyBorder="1" applyAlignment="1" applyProtection="1">
      <alignment horizontal="center" vertical="center"/>
      <protection hidden="1"/>
    </xf>
    <xf numFmtId="165" fontId="25" fillId="0" borderId="0" xfId="1" applyNumberFormat="1" applyFont="1" applyAlignment="1" applyProtection="1">
      <alignment horizontal="center" vertical="center"/>
      <protection hidden="1"/>
    </xf>
    <xf numFmtId="165" fontId="26" fillId="0" borderId="21" xfId="1" applyNumberFormat="1" applyFont="1" applyBorder="1" applyAlignment="1" applyProtection="1">
      <alignment horizontal="center" vertical="center"/>
      <protection hidden="1"/>
    </xf>
    <xf numFmtId="171" fontId="33" fillId="0" borderId="0" xfId="7" applyNumberFormat="1" applyFont="1" applyAlignment="1" applyProtection="1">
      <alignment horizontal="center" vertical="center"/>
      <protection hidden="1"/>
    </xf>
    <xf numFmtId="171" fontId="35" fillId="0" borderId="0" xfId="7" applyNumberFormat="1" applyFont="1" applyAlignment="1" applyProtection="1">
      <alignment horizontal="center" vertical="center"/>
      <protection hidden="1"/>
    </xf>
    <xf numFmtId="171" fontId="33" fillId="0" borderId="21" xfId="7" applyNumberFormat="1" applyFont="1" applyBorder="1" applyAlignment="1" applyProtection="1">
      <alignment horizontal="center" vertical="center"/>
      <protection hidden="1"/>
    </xf>
    <xf numFmtId="165" fontId="26" fillId="0" borderId="20" xfId="1" applyNumberFormat="1" applyFont="1" applyBorder="1" applyAlignment="1" applyProtection="1">
      <alignment horizontal="center" vertical="center"/>
      <protection hidden="1"/>
    </xf>
    <xf numFmtId="0" fontId="24" fillId="0" borderId="0" xfId="0" applyFont="1" applyAlignment="1" applyProtection="1">
      <alignment horizontal="center" vertical="center"/>
      <protection hidden="1"/>
    </xf>
    <xf numFmtId="165" fontId="25" fillId="0" borderId="21" xfId="1" applyNumberFormat="1" applyFont="1" applyBorder="1" applyAlignment="1" applyProtection="1">
      <alignment horizontal="center" vertical="center"/>
      <protection hidden="1"/>
    </xf>
    <xf numFmtId="0" fontId="22" fillId="0" borderId="15" xfId="0" applyFont="1" applyBorder="1" applyAlignment="1" applyProtection="1">
      <alignment vertical="center" wrapText="1"/>
      <protection hidden="1"/>
    </xf>
    <xf numFmtId="0" fontId="22" fillId="0" borderId="16" xfId="0" applyFont="1" applyBorder="1" applyAlignment="1" applyProtection="1">
      <alignment vertical="center" wrapText="1"/>
      <protection hidden="1"/>
    </xf>
    <xf numFmtId="0" fontId="22" fillId="0" borderId="14" xfId="0" applyFont="1" applyBorder="1" applyAlignment="1" applyProtection="1">
      <alignment vertical="center" wrapText="1"/>
      <protection hidden="1"/>
    </xf>
    <xf numFmtId="0" fontId="22" fillId="0" borderId="21" xfId="0" applyFont="1" applyBorder="1" applyAlignment="1" applyProtection="1">
      <alignment vertical="center"/>
      <protection hidden="1"/>
    </xf>
    <xf numFmtId="0" fontId="29" fillId="0" borderId="0" xfId="0" applyFont="1" applyAlignment="1" applyProtection="1">
      <alignment vertical="center"/>
      <protection hidden="1"/>
    </xf>
    <xf numFmtId="0" fontId="22" fillId="0" borderId="21" xfId="0" applyFont="1" applyBorder="1" applyAlignment="1" applyProtection="1">
      <alignment horizontal="center" vertical="center"/>
      <protection hidden="1"/>
    </xf>
    <xf numFmtId="165" fontId="29" fillId="0" borderId="0" xfId="1" applyNumberFormat="1" applyFont="1" applyAlignment="1" applyProtection="1">
      <alignment horizontal="center" vertical="center"/>
      <protection hidden="1"/>
    </xf>
    <xf numFmtId="165" fontId="29" fillId="0" borderId="21" xfId="1" applyNumberFormat="1" applyFont="1" applyBorder="1" applyAlignment="1" applyProtection="1">
      <alignment horizontal="center" vertical="center"/>
      <protection hidden="1"/>
    </xf>
    <xf numFmtId="0" fontId="29" fillId="0" borderId="21" xfId="0" applyFont="1" applyBorder="1" applyAlignment="1" applyProtection="1">
      <alignment vertical="center"/>
      <protection hidden="1"/>
    </xf>
    <xf numFmtId="0" fontId="22" fillId="0" borderId="18" xfId="0" applyFont="1" applyBorder="1" applyAlignment="1" applyProtection="1">
      <alignment vertical="center" wrapText="1"/>
      <protection hidden="1"/>
    </xf>
    <xf numFmtId="0" fontId="24" fillId="0" borderId="14" xfId="0" applyFont="1" applyBorder="1" applyAlignment="1" applyProtection="1">
      <alignment vertical="center"/>
      <protection hidden="1"/>
    </xf>
    <xf numFmtId="0" fontId="24" fillId="0" borderId="15" xfId="0" applyFont="1" applyBorder="1" applyAlignment="1" applyProtection="1">
      <alignment vertical="center"/>
      <protection hidden="1"/>
    </xf>
    <xf numFmtId="1" fontId="27" fillId="0" borderId="20" xfId="1" applyNumberFormat="1" applyFont="1" applyBorder="1" applyAlignment="1" applyProtection="1">
      <alignment horizontal="right" vertical="center"/>
      <protection hidden="1"/>
    </xf>
    <xf numFmtId="1" fontId="24" fillId="0" borderId="0" xfId="0" applyNumberFormat="1" applyFont="1" applyAlignment="1" applyProtection="1">
      <alignment horizontal="center" vertical="center"/>
      <protection hidden="1"/>
    </xf>
    <xf numFmtId="1" fontId="24" fillId="0" borderId="0" xfId="1" applyNumberFormat="1" applyFont="1" applyAlignment="1" applyProtection="1">
      <alignment horizontal="center" vertical="center"/>
      <protection hidden="1"/>
    </xf>
    <xf numFmtId="1" fontId="24" fillId="0" borderId="21" xfId="1" applyNumberFormat="1" applyFont="1" applyBorder="1" applyAlignment="1" applyProtection="1">
      <alignment horizontal="center" vertical="center"/>
      <protection hidden="1"/>
    </xf>
    <xf numFmtId="1" fontId="24" fillId="0" borderId="20" xfId="1" applyNumberFormat="1" applyFont="1" applyBorder="1" applyAlignment="1" applyProtection="1">
      <alignment horizontal="center" vertical="center"/>
      <protection hidden="1"/>
    </xf>
    <xf numFmtId="171" fontId="35" fillId="0" borderId="0" xfId="7" applyNumberFormat="1" applyFont="1" applyAlignment="1" applyProtection="1">
      <alignment vertical="center"/>
      <protection hidden="1"/>
    </xf>
    <xf numFmtId="171" fontId="35" fillId="0" borderId="21" xfId="7" applyNumberFormat="1" applyFont="1" applyBorder="1" applyAlignment="1" applyProtection="1">
      <alignment vertical="center"/>
      <protection hidden="1"/>
    </xf>
    <xf numFmtId="1" fontId="22" fillId="0" borderId="20" xfId="1" applyNumberFormat="1" applyFont="1" applyBorder="1" applyAlignment="1" applyProtection="1">
      <alignment vertical="center"/>
      <protection hidden="1"/>
    </xf>
    <xf numFmtId="1" fontId="22" fillId="0" borderId="0" xfId="1" applyNumberFormat="1" applyFont="1" applyAlignment="1" applyProtection="1">
      <alignment vertical="center"/>
      <protection hidden="1"/>
    </xf>
    <xf numFmtId="1" fontId="27" fillId="0" borderId="17" xfId="1" applyNumberFormat="1" applyFont="1" applyBorder="1" applyAlignment="1" applyProtection="1">
      <alignment vertical="center"/>
      <protection hidden="1"/>
    </xf>
    <xf numFmtId="1" fontId="27" fillId="0" borderId="18" xfId="1" applyNumberFormat="1" applyFont="1" applyBorder="1" applyAlignment="1" applyProtection="1">
      <alignment vertical="center"/>
      <protection hidden="1"/>
    </xf>
    <xf numFmtId="165" fontId="26" fillId="0" borderId="18" xfId="1" applyNumberFormat="1" applyFont="1" applyBorder="1" applyAlignment="1" applyProtection="1">
      <alignment horizontal="center" vertical="center"/>
      <protection hidden="1"/>
    </xf>
    <xf numFmtId="165" fontId="26" fillId="0" borderId="19" xfId="1" applyNumberFormat="1" applyFont="1" applyBorder="1" applyAlignment="1" applyProtection="1">
      <alignment horizontal="center" vertical="center"/>
      <protection hidden="1"/>
    </xf>
    <xf numFmtId="165" fontId="26" fillId="0" borderId="17" xfId="1" applyNumberFormat="1" applyFont="1" applyBorder="1" applyAlignment="1" applyProtection="1">
      <alignment horizontal="center" vertical="center"/>
      <protection hidden="1"/>
    </xf>
    <xf numFmtId="0" fontId="30" fillId="41" borderId="14" xfId="0" applyFont="1" applyFill="1" applyBorder="1" applyAlignment="1" applyProtection="1">
      <alignment vertical="center"/>
      <protection hidden="1"/>
    </xf>
    <xf numFmtId="0" fontId="46" fillId="41" borderId="15" xfId="0" applyFont="1" applyFill="1" applyBorder="1" applyAlignment="1" applyProtection="1">
      <alignment vertical="center"/>
      <protection hidden="1"/>
    </xf>
    <xf numFmtId="0" fontId="30" fillId="41" borderId="17" xfId="0" applyFont="1" applyFill="1" applyBorder="1" applyAlignment="1" applyProtection="1">
      <alignment vertical="center"/>
      <protection hidden="1"/>
    </xf>
    <xf numFmtId="0" fontId="46" fillId="41" borderId="18" xfId="0" applyFont="1" applyFill="1" applyBorder="1" applyAlignment="1" applyProtection="1">
      <alignment vertical="center"/>
      <protection hidden="1"/>
    </xf>
    <xf numFmtId="0" fontId="30" fillId="41" borderId="18" xfId="0" applyFont="1" applyFill="1" applyBorder="1" applyAlignment="1" applyProtection="1">
      <alignment vertical="center"/>
      <protection hidden="1"/>
    </xf>
    <xf numFmtId="171" fontId="33" fillId="0" borderId="21" xfId="7" applyNumberFormat="1" applyFont="1" applyBorder="1" applyAlignment="1" applyProtection="1">
      <alignment vertical="center"/>
      <protection hidden="1"/>
    </xf>
    <xf numFmtId="1" fontId="22" fillId="0" borderId="17" xfId="1" applyNumberFormat="1" applyFont="1" applyBorder="1" applyAlignment="1" applyProtection="1">
      <alignment vertical="center"/>
      <protection hidden="1"/>
    </xf>
    <xf numFmtId="1" fontId="22" fillId="0" borderId="18" xfId="1" applyNumberFormat="1" applyFont="1" applyBorder="1" applyAlignment="1" applyProtection="1">
      <alignment vertical="center"/>
      <protection hidden="1"/>
    </xf>
    <xf numFmtId="165" fontId="29" fillId="0" borderId="18" xfId="1" applyNumberFormat="1" applyFont="1" applyBorder="1" applyAlignment="1" applyProtection="1">
      <alignment horizontal="center" vertical="center"/>
      <protection hidden="1"/>
    </xf>
    <xf numFmtId="165" fontId="29" fillId="0" borderId="19" xfId="1" applyNumberFormat="1" applyFont="1" applyBorder="1" applyAlignment="1" applyProtection="1">
      <alignment horizontal="center" vertical="center"/>
      <protection hidden="1"/>
    </xf>
    <xf numFmtId="165" fontId="29" fillId="0" borderId="17" xfId="1" applyNumberFormat="1" applyFont="1" applyBorder="1" applyAlignment="1" applyProtection="1">
      <alignment horizontal="center" vertical="center"/>
      <protection hidden="1"/>
    </xf>
    <xf numFmtId="0" fontId="27" fillId="2" borderId="25" xfId="0" applyFont="1" applyFill="1" applyBorder="1" applyAlignment="1" applyProtection="1">
      <alignment horizontal="right" vertical="center"/>
      <protection hidden="1"/>
    </xf>
    <xf numFmtId="0" fontId="48" fillId="13" borderId="25" xfId="0" applyFont="1" applyFill="1" applyBorder="1" applyAlignment="1" applyProtection="1">
      <alignment horizontal="center" vertical="center" wrapText="1"/>
      <protection hidden="1"/>
    </xf>
    <xf numFmtId="0" fontId="48" fillId="25" borderId="25" xfId="0" applyFont="1" applyFill="1" applyBorder="1" applyAlignment="1" applyProtection="1">
      <alignment horizontal="center" vertical="center" wrapText="1"/>
      <protection hidden="1"/>
    </xf>
    <xf numFmtId="0" fontId="48" fillId="24" borderId="25" xfId="0" applyFont="1" applyFill="1" applyBorder="1" applyAlignment="1" applyProtection="1">
      <alignment horizontal="center" vertical="center" wrapText="1"/>
      <protection hidden="1"/>
    </xf>
    <xf numFmtId="0" fontId="48" fillId="29" borderId="25" xfId="0" applyFont="1" applyFill="1" applyBorder="1" applyAlignment="1" applyProtection="1">
      <alignment horizontal="center" vertical="center" wrapText="1"/>
      <protection hidden="1"/>
    </xf>
    <xf numFmtId="0" fontId="25" fillId="11" borderId="25" xfId="0" applyFont="1" applyFill="1" applyBorder="1" applyAlignment="1" applyProtection="1">
      <alignment vertical="center"/>
      <protection hidden="1"/>
    </xf>
    <xf numFmtId="172" fontId="25" fillId="11" borderId="25" xfId="0" applyNumberFormat="1" applyFont="1" applyFill="1" applyBorder="1" applyAlignment="1" applyProtection="1">
      <alignment vertical="center"/>
      <protection hidden="1"/>
    </xf>
    <xf numFmtId="3" fontId="25" fillId="11" borderId="25" xfId="0" applyNumberFormat="1" applyFont="1" applyFill="1" applyBorder="1" applyAlignment="1" applyProtection="1">
      <alignment vertical="center"/>
      <protection hidden="1"/>
    </xf>
    <xf numFmtId="0" fontId="25" fillId="17" borderId="25" xfId="0" applyFont="1" applyFill="1" applyBorder="1" applyAlignment="1" applyProtection="1">
      <alignment vertical="center"/>
      <protection hidden="1"/>
    </xf>
    <xf numFmtId="172" fontId="25" fillId="17" borderId="25" xfId="0" applyNumberFormat="1" applyFont="1" applyFill="1" applyBorder="1" applyAlignment="1" applyProtection="1">
      <alignment vertical="center"/>
      <protection hidden="1"/>
    </xf>
    <xf numFmtId="3" fontId="25" fillId="17" borderId="25" xfId="0" applyNumberFormat="1" applyFont="1" applyFill="1" applyBorder="1" applyAlignment="1" applyProtection="1">
      <alignment vertical="center"/>
      <protection hidden="1"/>
    </xf>
    <xf numFmtId="0" fontId="25" fillId="16" borderId="25" xfId="0" applyFont="1" applyFill="1" applyBorder="1" applyAlignment="1" applyProtection="1">
      <alignment vertical="center"/>
      <protection hidden="1"/>
    </xf>
    <xf numFmtId="172" fontId="25" fillId="16" borderId="25" xfId="0" applyNumberFormat="1" applyFont="1" applyFill="1" applyBorder="1" applyAlignment="1" applyProtection="1">
      <alignment vertical="center"/>
      <protection hidden="1"/>
    </xf>
    <xf numFmtId="3" fontId="25" fillId="16" borderId="25" xfId="0" applyNumberFormat="1" applyFont="1" applyFill="1" applyBorder="1" applyAlignment="1" applyProtection="1">
      <alignment vertical="center"/>
      <protection hidden="1"/>
    </xf>
    <xf numFmtId="0" fontId="22" fillId="24" borderId="25" xfId="0" applyFont="1" applyFill="1" applyBorder="1" applyAlignment="1" applyProtection="1">
      <alignment vertical="center"/>
      <protection hidden="1"/>
    </xf>
    <xf numFmtId="172" fontId="22" fillId="24" borderId="25" xfId="0" applyNumberFormat="1" applyFont="1" applyFill="1" applyBorder="1" applyAlignment="1" applyProtection="1">
      <alignment vertical="center"/>
      <protection hidden="1"/>
    </xf>
    <xf numFmtId="3" fontId="22" fillId="24" borderId="25" xfId="0" applyNumberFormat="1" applyFont="1" applyFill="1" applyBorder="1" applyAlignment="1" applyProtection="1">
      <alignment vertical="center"/>
      <protection hidden="1"/>
    </xf>
    <xf numFmtId="0" fontId="25" fillId="9" borderId="25" xfId="0" applyFont="1" applyFill="1" applyBorder="1" applyAlignment="1" applyProtection="1">
      <alignment vertical="center"/>
      <protection hidden="1"/>
    </xf>
    <xf numFmtId="172" fontId="25" fillId="9" borderId="25" xfId="0" applyNumberFormat="1" applyFont="1" applyFill="1" applyBorder="1" applyAlignment="1" applyProtection="1">
      <alignment vertical="center"/>
      <protection hidden="1"/>
    </xf>
    <xf numFmtId="3" fontId="25" fillId="9" borderId="25" xfId="0" applyNumberFormat="1" applyFont="1" applyFill="1" applyBorder="1" applyAlignment="1" applyProtection="1">
      <alignment vertical="center"/>
      <protection hidden="1"/>
    </xf>
    <xf numFmtId="0" fontId="22" fillId="8" borderId="25" xfId="0" applyFont="1" applyFill="1" applyBorder="1" applyAlignment="1" applyProtection="1">
      <alignment vertical="center"/>
      <protection hidden="1"/>
    </xf>
    <xf numFmtId="172" fontId="29" fillId="8" borderId="25" xfId="0" applyNumberFormat="1" applyFont="1" applyFill="1" applyBorder="1" applyAlignment="1" applyProtection="1">
      <alignment vertical="center"/>
      <protection hidden="1"/>
    </xf>
    <xf numFmtId="3" fontId="29" fillId="8" borderId="25" xfId="0" applyNumberFormat="1" applyFont="1" applyFill="1" applyBorder="1" applyAlignment="1" applyProtection="1">
      <alignment vertical="center"/>
      <protection hidden="1"/>
    </xf>
    <xf numFmtId="2" fontId="24" fillId="30" borderId="0" xfId="0" applyNumberFormat="1" applyFont="1" applyFill="1" applyAlignment="1" applyProtection="1">
      <alignment horizontal="center" vertical="center"/>
      <protection hidden="1"/>
    </xf>
    <xf numFmtId="2" fontId="22" fillId="30" borderId="0" xfId="0" applyNumberFormat="1" applyFont="1" applyFill="1" applyAlignment="1" applyProtection="1">
      <alignment horizontal="center" vertical="center"/>
      <protection hidden="1"/>
    </xf>
    <xf numFmtId="0" fontId="22" fillId="30" borderId="0" xfId="0" applyFont="1" applyFill="1" applyAlignment="1" applyProtection="1">
      <alignment horizontal="center" vertical="center"/>
      <protection hidden="1"/>
    </xf>
    <xf numFmtId="4" fontId="27" fillId="0" borderId="0" xfId="0" applyNumberFormat="1" applyFont="1" applyAlignment="1" applyProtection="1">
      <alignment vertical="center"/>
      <protection hidden="1"/>
    </xf>
    <xf numFmtId="4" fontId="27" fillId="0" borderId="0" xfId="0" applyNumberFormat="1" applyFont="1" applyAlignment="1" applyProtection="1">
      <alignment horizontal="center" vertical="center"/>
      <protection hidden="1"/>
    </xf>
    <xf numFmtId="4" fontId="27" fillId="0" borderId="0" xfId="1" applyNumberFormat="1" applyFont="1" applyAlignment="1" applyProtection="1">
      <alignment horizontal="center" vertical="center"/>
      <protection hidden="1"/>
    </xf>
    <xf numFmtId="4" fontId="27" fillId="0" borderId="21" xfId="1" applyNumberFormat="1" applyFont="1" applyBorder="1" applyAlignment="1" applyProtection="1">
      <alignment horizontal="center" vertical="center"/>
      <protection hidden="1"/>
    </xf>
    <xf numFmtId="1" fontId="27" fillId="0" borderId="20" xfId="1" applyNumberFormat="1" applyFont="1" applyBorder="1" applyAlignment="1" applyProtection="1">
      <alignment vertical="center"/>
      <protection hidden="1"/>
    </xf>
    <xf numFmtId="4" fontId="27" fillId="0" borderId="0" xfId="1" applyNumberFormat="1" applyFont="1" applyAlignment="1" applyProtection="1">
      <alignment vertical="center"/>
      <protection hidden="1"/>
    </xf>
    <xf numFmtId="4" fontId="26" fillId="0" borderId="0" xfId="1" applyNumberFormat="1" applyFont="1" applyAlignment="1" applyProtection="1">
      <alignment horizontal="center" vertical="center"/>
      <protection hidden="1"/>
    </xf>
    <xf numFmtId="4" fontId="26" fillId="0" borderId="21" xfId="1" applyNumberFormat="1" applyFont="1" applyBorder="1" applyAlignment="1" applyProtection="1">
      <alignment horizontal="center" vertical="center"/>
      <protection hidden="1"/>
    </xf>
    <xf numFmtId="173" fontId="22" fillId="0" borderId="14" xfId="0" applyNumberFormat="1" applyFont="1" applyBorder="1" applyAlignment="1" applyProtection="1">
      <alignment horizontal="left" vertical="center" wrapText="1"/>
      <protection hidden="1"/>
    </xf>
    <xf numFmtId="173" fontId="22" fillId="0" borderId="15" xfId="0" applyNumberFormat="1" applyFont="1" applyBorder="1" applyAlignment="1" applyProtection="1">
      <alignment vertical="center" wrapText="1"/>
      <protection hidden="1"/>
    </xf>
    <xf numFmtId="173" fontId="22" fillId="0" borderId="15" xfId="0" applyNumberFormat="1" applyFont="1" applyBorder="1" applyAlignment="1" applyProtection="1">
      <alignment horizontal="center" vertical="center" wrapText="1"/>
      <protection hidden="1"/>
    </xf>
    <xf numFmtId="173" fontId="22" fillId="0" borderId="16" xfId="0" applyNumberFormat="1" applyFont="1" applyBorder="1" applyAlignment="1" applyProtection="1">
      <alignment vertical="center" wrapText="1"/>
      <protection hidden="1"/>
    </xf>
    <xf numFmtId="173" fontId="22" fillId="0" borderId="14" xfId="0" applyNumberFormat="1" applyFont="1" applyBorder="1" applyAlignment="1" applyProtection="1">
      <alignment vertical="center" wrapText="1"/>
      <protection hidden="1"/>
    </xf>
    <xf numFmtId="173" fontId="22" fillId="0" borderId="20" xfId="0" applyNumberFormat="1" applyFont="1" applyBorder="1" applyAlignment="1" applyProtection="1">
      <alignment horizontal="left" vertical="center"/>
      <protection hidden="1"/>
    </xf>
    <xf numFmtId="173" fontId="22" fillId="0" borderId="0" xfId="0" applyNumberFormat="1" applyFont="1" applyAlignment="1" applyProtection="1">
      <alignment vertical="center"/>
      <protection hidden="1"/>
    </xf>
    <xf numFmtId="173" fontId="47" fillId="0" borderId="0" xfId="0" applyNumberFormat="1" applyFont="1" applyAlignment="1" applyProtection="1">
      <alignment vertical="center"/>
      <protection hidden="1"/>
    </xf>
    <xf numFmtId="173" fontId="22" fillId="0" borderId="21" xfId="0" applyNumberFormat="1" applyFont="1" applyBorder="1" applyAlignment="1" applyProtection="1">
      <alignment vertical="center"/>
      <protection hidden="1"/>
    </xf>
    <xf numFmtId="173" fontId="22" fillId="0" borderId="20" xfId="0" applyNumberFormat="1" applyFont="1" applyBorder="1" applyAlignment="1" applyProtection="1">
      <alignment vertical="center"/>
      <protection hidden="1"/>
    </xf>
    <xf numFmtId="173" fontId="22" fillId="0" borderId="0" xfId="0" applyNumberFormat="1" applyFont="1" applyAlignment="1" applyProtection="1">
      <alignment vertical="center" wrapText="1"/>
      <protection hidden="1"/>
    </xf>
    <xf numFmtId="173" fontId="22" fillId="0" borderId="21" xfId="0" applyNumberFormat="1" applyFont="1" applyBorder="1" applyAlignment="1" applyProtection="1">
      <alignment vertical="center" wrapText="1"/>
      <protection hidden="1"/>
    </xf>
    <xf numFmtId="173" fontId="22" fillId="0" borderId="20" xfId="0" applyNumberFormat="1" applyFont="1" applyBorder="1" applyAlignment="1" applyProtection="1">
      <alignment vertical="center" wrapText="1"/>
      <protection hidden="1"/>
    </xf>
    <xf numFmtId="173" fontId="29" fillId="0" borderId="20" xfId="0" applyNumberFormat="1" applyFont="1" applyBorder="1" applyAlignment="1" applyProtection="1">
      <alignment horizontal="left" vertical="center"/>
      <protection hidden="1"/>
    </xf>
    <xf numFmtId="173" fontId="29" fillId="0" borderId="0" xfId="0" applyNumberFormat="1" applyFont="1" applyAlignment="1" applyProtection="1">
      <alignment vertical="center"/>
      <protection hidden="1"/>
    </xf>
    <xf numFmtId="173" fontId="22" fillId="0" borderId="0" xfId="0" applyNumberFormat="1" applyFont="1" applyAlignment="1" applyProtection="1">
      <alignment horizontal="center" vertical="center"/>
      <protection hidden="1"/>
    </xf>
    <xf numFmtId="173" fontId="22" fillId="0" borderId="21" xfId="0" applyNumberFormat="1" applyFont="1" applyBorder="1" applyAlignment="1" applyProtection="1">
      <alignment horizontal="center" vertical="center"/>
      <protection hidden="1"/>
    </xf>
    <xf numFmtId="173" fontId="22" fillId="0" borderId="20" xfId="0" applyNumberFormat="1" applyFont="1" applyBorder="1" applyAlignment="1" applyProtection="1">
      <alignment horizontal="center" vertical="center"/>
      <protection hidden="1"/>
    </xf>
    <xf numFmtId="173" fontId="29" fillId="0" borderId="0" xfId="1" applyNumberFormat="1" applyFont="1" applyAlignment="1" applyProtection="1">
      <alignment horizontal="center" vertical="center"/>
      <protection hidden="1"/>
    </xf>
    <xf numFmtId="173" fontId="29" fillId="0" borderId="21" xfId="1" applyNumberFormat="1" applyFont="1" applyBorder="1" applyAlignment="1" applyProtection="1">
      <alignment horizontal="center" vertical="center"/>
      <protection hidden="1"/>
    </xf>
    <xf numFmtId="173" fontId="29" fillId="0" borderId="20" xfId="1" applyNumberFormat="1" applyFont="1" applyBorder="1" applyAlignment="1" applyProtection="1">
      <alignment horizontal="center" vertical="center"/>
      <protection hidden="1"/>
    </xf>
    <xf numFmtId="173" fontId="22" fillId="0" borderId="0" xfId="0" quotePrefix="1" applyNumberFormat="1" applyFont="1" applyAlignment="1" applyProtection="1">
      <alignment vertical="center" textRotation="90" wrapText="1"/>
      <protection hidden="1"/>
    </xf>
    <xf numFmtId="173" fontId="22" fillId="0" borderId="20" xfId="1" applyNumberFormat="1" applyFont="1" applyBorder="1" applyAlignment="1" applyProtection="1">
      <alignment horizontal="left" vertical="center"/>
      <protection hidden="1"/>
    </xf>
    <xf numFmtId="173" fontId="22" fillId="0" borderId="17" xfId="0" applyNumberFormat="1" applyFont="1" applyBorder="1" applyAlignment="1" applyProtection="1">
      <alignment horizontal="left" vertical="center" wrapText="1"/>
      <protection hidden="1"/>
    </xf>
    <xf numFmtId="173" fontId="22" fillId="0" borderId="18" xfId="0" applyNumberFormat="1" applyFont="1" applyBorder="1" applyAlignment="1" applyProtection="1">
      <alignment vertical="center" wrapText="1"/>
      <protection hidden="1"/>
    </xf>
    <xf numFmtId="173" fontId="22" fillId="0" borderId="19" xfId="0" applyNumberFormat="1" applyFont="1" applyBorder="1" applyAlignment="1" applyProtection="1">
      <alignment vertical="center" wrapText="1"/>
      <protection hidden="1"/>
    </xf>
    <xf numFmtId="173" fontId="22" fillId="0" borderId="17" xfId="0" applyNumberFormat="1" applyFont="1" applyBorder="1" applyAlignment="1" applyProtection="1">
      <alignment vertical="center" wrapText="1"/>
      <protection hidden="1"/>
    </xf>
    <xf numFmtId="173" fontId="47" fillId="0" borderId="0" xfId="1" applyNumberFormat="1" applyFont="1" applyAlignment="1" applyProtection="1">
      <alignment vertical="center"/>
      <protection hidden="1"/>
    </xf>
    <xf numFmtId="173" fontId="33" fillId="0" borderId="0" xfId="7" applyNumberFormat="1" applyFont="1" applyAlignment="1" applyProtection="1">
      <alignment horizontal="center" vertical="center"/>
      <protection hidden="1"/>
    </xf>
    <xf numFmtId="173" fontId="33" fillId="0" borderId="21" xfId="7" applyNumberFormat="1" applyFont="1" applyBorder="1" applyAlignment="1" applyProtection="1">
      <alignment horizontal="center" vertical="center"/>
      <protection hidden="1"/>
    </xf>
    <xf numFmtId="173" fontId="33" fillId="0" borderId="20" xfId="7" applyNumberFormat="1" applyFont="1" applyBorder="1" applyAlignment="1" applyProtection="1">
      <alignment horizontal="center" vertical="center"/>
      <protection hidden="1"/>
    </xf>
    <xf numFmtId="173" fontId="29" fillId="0" borderId="21" xfId="0" applyNumberFormat="1" applyFont="1" applyBorder="1" applyAlignment="1" applyProtection="1">
      <alignment vertical="center"/>
      <protection hidden="1"/>
    </xf>
    <xf numFmtId="173" fontId="29" fillId="0" borderId="20" xfId="0" applyNumberFormat="1" applyFont="1" applyBorder="1" applyAlignment="1" applyProtection="1">
      <alignment vertical="center"/>
      <protection hidden="1"/>
    </xf>
    <xf numFmtId="3" fontId="19" fillId="0" borderId="0" xfId="11" applyFont="1" applyProtection="1">
      <protection hidden="1"/>
    </xf>
    <xf numFmtId="3" fontId="7" fillId="0" borderId="0" xfId="11" applyFont="1" applyProtection="1">
      <protection hidden="1"/>
    </xf>
    <xf numFmtId="3" fontId="38" fillId="0" borderId="2" xfId="11" applyFont="1" applyBorder="1" applyAlignment="1" applyProtection="1">
      <alignment horizontal="center" vertical="center"/>
      <protection hidden="1"/>
    </xf>
    <xf numFmtId="3" fontId="39" fillId="0" borderId="0" xfId="11" applyFont="1"/>
    <xf numFmtId="0" fontId="30" fillId="42" borderId="14" xfId="0" applyFont="1" applyFill="1" applyBorder="1" applyAlignment="1" applyProtection="1">
      <alignment vertical="center"/>
      <protection hidden="1"/>
    </xf>
    <xf numFmtId="0" fontId="46" fillId="42" borderId="15" xfId="0" applyFont="1" applyFill="1" applyBorder="1" applyAlignment="1" applyProtection="1">
      <alignment vertical="center"/>
      <protection hidden="1"/>
    </xf>
    <xf numFmtId="0" fontId="30" fillId="42" borderId="17" xfId="0" applyFont="1" applyFill="1" applyBorder="1" applyAlignment="1" applyProtection="1">
      <alignment vertical="center"/>
      <protection hidden="1"/>
    </xf>
    <xf numFmtId="0" fontId="46" fillId="42" borderId="18" xfId="0" applyFont="1" applyFill="1" applyBorder="1" applyAlignment="1" applyProtection="1">
      <alignment vertical="center"/>
      <protection hidden="1"/>
    </xf>
    <xf numFmtId="0" fontId="30" fillId="42" borderId="18" xfId="0" applyFont="1" applyFill="1" applyBorder="1" applyAlignment="1" applyProtection="1">
      <alignment vertical="center"/>
      <protection hidden="1"/>
    </xf>
    <xf numFmtId="0" fontId="24" fillId="0" borderId="11" xfId="0" applyFont="1" applyBorder="1" applyAlignment="1" applyProtection="1">
      <alignment vertical="center" wrapText="1"/>
      <protection hidden="1"/>
    </xf>
    <xf numFmtId="0" fontId="24" fillId="0" borderId="12" xfId="0" applyFont="1" applyBorder="1" applyAlignment="1" applyProtection="1">
      <alignment vertical="center" wrapText="1"/>
      <protection hidden="1"/>
    </xf>
    <xf numFmtId="0" fontId="24" fillId="0" borderId="13" xfId="0" applyFont="1" applyBorder="1" applyAlignment="1" applyProtection="1">
      <alignment vertical="center" wrapText="1"/>
      <protection hidden="1"/>
    </xf>
    <xf numFmtId="171" fontId="35" fillId="0" borderId="15" xfId="7" applyNumberFormat="1" applyFont="1" applyBorder="1" applyAlignment="1" applyProtection="1">
      <alignment vertical="center"/>
      <protection hidden="1"/>
    </xf>
    <xf numFmtId="171" fontId="35" fillId="0" borderId="16" xfId="7" applyNumberFormat="1" applyFont="1" applyBorder="1" applyAlignment="1" applyProtection="1">
      <alignment vertical="center"/>
      <protection hidden="1"/>
    </xf>
    <xf numFmtId="171" fontId="35" fillId="0" borderId="18" xfId="7" applyNumberFormat="1" applyFont="1" applyBorder="1" applyAlignment="1" applyProtection="1">
      <alignment vertical="center"/>
      <protection hidden="1"/>
    </xf>
    <xf numFmtId="171" fontId="35" fillId="0" borderId="19" xfId="7" applyNumberFormat="1" applyFont="1" applyBorder="1" applyAlignment="1" applyProtection="1">
      <alignment vertical="center"/>
      <protection hidden="1"/>
    </xf>
    <xf numFmtId="0" fontId="27" fillId="0" borderId="11" xfId="0" applyFont="1" applyBorder="1" applyAlignment="1" applyProtection="1">
      <alignment vertical="center"/>
      <protection hidden="1"/>
    </xf>
    <xf numFmtId="0" fontId="27" fillId="0" borderId="12" xfId="0" applyFont="1" applyBorder="1" applyAlignment="1" applyProtection="1">
      <alignment vertical="center"/>
      <protection hidden="1"/>
    </xf>
    <xf numFmtId="0" fontId="27" fillId="0" borderId="13" xfId="0" applyFont="1" applyBorder="1" applyAlignment="1" applyProtection="1">
      <alignment vertical="center"/>
      <protection hidden="1"/>
    </xf>
    <xf numFmtId="1" fontId="24" fillId="0" borderId="10" xfId="0" applyNumberFormat="1" applyFont="1" applyBorder="1" applyAlignment="1" applyProtection="1">
      <alignment horizontal="center" vertical="center"/>
      <protection hidden="1"/>
    </xf>
    <xf numFmtId="1" fontId="24" fillId="0" borderId="22" xfId="1" applyNumberFormat="1" applyFont="1" applyBorder="1" applyAlignment="1" applyProtection="1">
      <alignment horizontal="center" vertical="center"/>
      <protection hidden="1"/>
    </xf>
    <xf numFmtId="1" fontId="22" fillId="0" borderId="11" xfId="1" applyNumberFormat="1" applyFont="1" applyBorder="1" applyAlignment="1" applyProtection="1">
      <alignment vertical="center"/>
      <protection hidden="1"/>
    </xf>
    <xf numFmtId="1" fontId="22" fillId="0" borderId="12" xfId="1" applyNumberFormat="1" applyFont="1" applyBorder="1" applyAlignment="1" applyProtection="1">
      <alignment vertical="center"/>
      <protection hidden="1"/>
    </xf>
    <xf numFmtId="1" fontId="27" fillId="0" borderId="11" xfId="1" applyNumberFormat="1" applyFont="1" applyBorder="1" applyAlignment="1" applyProtection="1">
      <alignment vertical="center"/>
      <protection hidden="1"/>
    </xf>
    <xf numFmtId="1" fontId="27" fillId="0" borderId="12" xfId="1" applyNumberFormat="1" applyFont="1" applyBorder="1" applyAlignment="1" applyProtection="1">
      <alignment vertical="center"/>
      <protection hidden="1"/>
    </xf>
    <xf numFmtId="0" fontId="30" fillId="43" borderId="14" xfId="0" applyFont="1" applyFill="1" applyBorder="1" applyAlignment="1" applyProtection="1">
      <alignment vertical="center"/>
      <protection hidden="1"/>
    </xf>
    <xf numFmtId="0" fontId="46" fillId="43" borderId="15" xfId="0" applyFont="1" applyFill="1" applyBorder="1" applyAlignment="1" applyProtection="1">
      <alignment vertical="center"/>
      <protection hidden="1"/>
    </xf>
    <xf numFmtId="0" fontId="30" fillId="43" borderId="17" xfId="0" applyFont="1" applyFill="1" applyBorder="1" applyAlignment="1" applyProtection="1">
      <alignment vertical="center"/>
      <protection hidden="1"/>
    </xf>
    <xf numFmtId="0" fontId="46" fillId="43" borderId="18" xfId="0" applyFont="1" applyFill="1" applyBorder="1" applyAlignment="1" applyProtection="1">
      <alignment vertical="center"/>
      <protection hidden="1"/>
    </xf>
    <xf numFmtId="0" fontId="30" fillId="43" borderId="18" xfId="0" applyFont="1" applyFill="1" applyBorder="1" applyAlignment="1" applyProtection="1">
      <alignment vertical="center"/>
      <protection hidden="1"/>
    </xf>
    <xf numFmtId="0" fontId="30" fillId="43" borderId="15" xfId="0" applyFont="1" applyFill="1" applyBorder="1" applyAlignment="1" applyProtection="1">
      <alignment vertical="center" wrapText="1"/>
      <protection hidden="1"/>
    </xf>
    <xf numFmtId="0" fontId="30" fillId="43" borderId="18" xfId="0" applyFont="1" applyFill="1" applyBorder="1" applyAlignment="1" applyProtection="1">
      <alignment vertical="center" wrapText="1"/>
      <protection hidden="1"/>
    </xf>
    <xf numFmtId="0" fontId="30" fillId="19" borderId="14" xfId="0" applyFont="1" applyFill="1" applyBorder="1" applyAlignment="1" applyProtection="1">
      <alignment vertical="center"/>
      <protection hidden="1"/>
    </xf>
    <xf numFmtId="0" fontId="46" fillId="19" borderId="15" xfId="0" applyFont="1" applyFill="1" applyBorder="1" applyAlignment="1" applyProtection="1">
      <alignment vertical="center"/>
      <protection hidden="1"/>
    </xf>
    <xf numFmtId="0" fontId="30" fillId="19" borderId="15" xfId="0" applyFont="1" applyFill="1" applyBorder="1" applyAlignment="1" applyProtection="1">
      <alignment vertical="center" wrapText="1"/>
      <protection hidden="1"/>
    </xf>
    <xf numFmtId="0" fontId="30" fillId="19" borderId="17" xfId="0" applyFont="1" applyFill="1" applyBorder="1" applyAlignment="1" applyProtection="1">
      <alignment vertical="center"/>
      <protection hidden="1"/>
    </xf>
    <xf numFmtId="0" fontId="46" fillId="19" borderId="18" xfId="0" applyFont="1" applyFill="1" applyBorder="1" applyAlignment="1" applyProtection="1">
      <alignment vertical="center"/>
      <protection hidden="1"/>
    </xf>
    <xf numFmtId="0" fontId="30" fillId="19" borderId="18" xfId="0" applyFont="1" applyFill="1" applyBorder="1" applyAlignment="1" applyProtection="1">
      <alignment vertical="center"/>
      <protection hidden="1"/>
    </xf>
    <xf numFmtId="0" fontId="30" fillId="19" borderId="18" xfId="0" applyFont="1" applyFill="1" applyBorder="1" applyAlignment="1" applyProtection="1">
      <alignment vertical="center" wrapText="1"/>
      <protection hidden="1"/>
    </xf>
    <xf numFmtId="0" fontId="49" fillId="0" borderId="17" xfId="0" applyFont="1" applyBorder="1" applyAlignment="1" applyProtection="1">
      <alignment vertical="top" wrapText="1"/>
      <protection hidden="1"/>
    </xf>
    <xf numFmtId="0" fontId="49" fillId="0" borderId="18" xfId="0" applyFont="1" applyBorder="1" applyAlignment="1" applyProtection="1">
      <alignment vertical="top" wrapText="1"/>
      <protection hidden="1"/>
    </xf>
    <xf numFmtId="0" fontId="49" fillId="0" borderId="20" xfId="0" applyFont="1" applyBorder="1" applyAlignment="1" applyProtection="1">
      <alignment vertical="top" wrapText="1"/>
      <protection hidden="1"/>
    </xf>
    <xf numFmtId="0" fontId="49" fillId="0" borderId="0" xfId="0" applyFont="1" applyAlignment="1" applyProtection="1">
      <alignment vertical="top" wrapText="1"/>
      <protection hidden="1"/>
    </xf>
    <xf numFmtId="0" fontId="49" fillId="0" borderId="21" xfId="0" applyFont="1" applyBorder="1" applyAlignment="1" applyProtection="1">
      <alignment vertical="top" wrapText="1"/>
      <protection hidden="1"/>
    </xf>
    <xf numFmtId="0" fontId="49" fillId="0" borderId="19" xfId="0" applyFont="1" applyBorder="1" applyAlignment="1" applyProtection="1">
      <alignment vertical="top" wrapText="1"/>
      <protection hidden="1"/>
    </xf>
    <xf numFmtId="0" fontId="50" fillId="0" borderId="14" xfId="0" applyFont="1" applyBorder="1" applyAlignment="1" applyProtection="1">
      <alignment vertical="center" wrapText="1"/>
      <protection hidden="1"/>
    </xf>
    <xf numFmtId="0" fontId="50" fillId="0" borderId="15" xfId="0" applyFont="1" applyBorder="1" applyAlignment="1" applyProtection="1">
      <alignment vertical="center" wrapText="1"/>
      <protection hidden="1"/>
    </xf>
    <xf numFmtId="0" fontId="50" fillId="0" borderId="16" xfId="0" applyFont="1" applyBorder="1" applyAlignment="1" applyProtection="1">
      <alignment vertical="center" wrapText="1"/>
      <protection hidden="1"/>
    </xf>
    <xf numFmtId="0" fontId="50" fillId="0" borderId="20" xfId="0" applyFont="1" applyBorder="1" applyAlignment="1" applyProtection="1">
      <alignment vertical="center" wrapText="1"/>
      <protection hidden="1"/>
    </xf>
    <xf numFmtId="0" fontId="50" fillId="0" borderId="0" xfId="0" applyFont="1" applyAlignment="1" applyProtection="1">
      <alignment vertical="center" wrapText="1"/>
      <protection hidden="1"/>
    </xf>
    <xf numFmtId="0" fontId="50" fillId="0" borderId="21" xfId="0" applyFont="1" applyBorder="1" applyAlignment="1" applyProtection="1">
      <alignment vertical="center" wrapText="1"/>
      <protection hidden="1"/>
    </xf>
    <xf numFmtId="0" fontId="51" fillId="0" borderId="0" xfId="0" applyFont="1" applyAlignment="1" applyProtection="1">
      <alignment vertical="center"/>
      <protection hidden="1"/>
    </xf>
    <xf numFmtId="0" fontId="51" fillId="0" borderId="0" xfId="0" applyFont="1" applyAlignment="1" applyProtection="1">
      <alignment vertical="top" wrapText="1"/>
      <protection hidden="1"/>
    </xf>
    <xf numFmtId="0" fontId="50" fillId="0" borderId="14" xfId="0" applyFont="1" applyBorder="1" applyAlignment="1" applyProtection="1">
      <alignment vertical="center"/>
      <protection hidden="1"/>
    </xf>
    <xf numFmtId="0" fontId="51" fillId="0" borderId="15" xfId="0" applyFont="1" applyBorder="1" applyAlignment="1" applyProtection="1">
      <alignment vertical="center"/>
      <protection hidden="1"/>
    </xf>
    <xf numFmtId="2" fontId="53" fillId="0" borderId="15" xfId="0" applyNumberFormat="1" applyFont="1" applyBorder="1" applyAlignment="1" applyProtection="1">
      <alignment vertical="center"/>
      <protection hidden="1"/>
    </xf>
    <xf numFmtId="0" fontId="54" fillId="0" borderId="0" xfId="0" applyFont="1" applyAlignment="1" applyProtection="1">
      <alignment vertical="center"/>
      <protection hidden="1"/>
    </xf>
    <xf numFmtId="49" fontId="55" fillId="0" borderId="20" xfId="0" applyNumberFormat="1" applyFont="1" applyBorder="1" applyAlignment="1" applyProtection="1">
      <alignment horizontal="right" vertical="top"/>
      <protection hidden="1"/>
    </xf>
    <xf numFmtId="49" fontId="55" fillId="0" borderId="14" xfId="0" applyNumberFormat="1" applyFont="1" applyBorder="1" applyAlignment="1" applyProtection="1">
      <alignment horizontal="right" vertical="center"/>
      <protection hidden="1"/>
    </xf>
    <xf numFmtId="0" fontId="52" fillId="0" borderId="0" xfId="0" applyFont="1" applyAlignment="1" applyProtection="1">
      <alignment vertical="top"/>
      <protection hidden="1"/>
    </xf>
    <xf numFmtId="4" fontId="33" fillId="18" borderId="22" xfId="7" applyNumberFormat="1" applyFont="1" applyFill="1" applyBorder="1" applyAlignment="1" applyProtection="1">
      <alignment horizontal="right" vertical="center"/>
      <protection hidden="1"/>
    </xf>
    <xf numFmtId="4" fontId="33" fillId="8" borderId="22" xfId="7" applyNumberFormat="1" applyFont="1" applyFill="1" applyBorder="1" applyAlignment="1" applyProtection="1">
      <alignment horizontal="right" vertical="center"/>
      <protection hidden="1"/>
    </xf>
    <xf numFmtId="4" fontId="35" fillId="3" borderId="10" xfId="7" applyNumberFormat="1" applyFont="1" applyFill="1" applyBorder="1" applyAlignment="1" applyProtection="1">
      <alignment horizontal="right" vertical="center"/>
      <protection hidden="1"/>
    </xf>
    <xf numFmtId="4" fontId="35" fillId="4" borderId="10" xfId="7" applyNumberFormat="1" applyFont="1" applyFill="1" applyBorder="1" applyAlignment="1" applyProtection="1">
      <alignment horizontal="right" vertical="center"/>
      <protection hidden="1"/>
    </xf>
    <xf numFmtId="4" fontId="33" fillId="13" borderId="10" xfId="7" applyNumberFormat="1" applyFont="1" applyFill="1" applyBorder="1" applyAlignment="1" applyProtection="1">
      <alignment horizontal="right" vertical="center"/>
      <protection hidden="1"/>
    </xf>
    <xf numFmtId="4" fontId="33" fillId="5" borderId="10" xfId="7" applyNumberFormat="1" applyFont="1" applyFill="1" applyBorder="1" applyAlignment="1" applyProtection="1">
      <alignment horizontal="right" vertical="center"/>
      <protection hidden="1"/>
    </xf>
    <xf numFmtId="4" fontId="33" fillId="18" borderId="10" xfId="7" applyNumberFormat="1" applyFont="1" applyFill="1" applyBorder="1" applyAlignment="1" applyProtection="1">
      <alignment horizontal="right" vertical="center"/>
      <protection hidden="1"/>
    </xf>
    <xf numFmtId="4" fontId="33" fillId="18" borderId="22" xfId="1" applyNumberFormat="1" applyFont="1" applyFill="1" applyBorder="1" applyAlignment="1" applyProtection="1">
      <alignment horizontal="right" vertical="center"/>
      <protection hidden="1"/>
    </xf>
    <xf numFmtId="4" fontId="33" fillId="8" borderId="22" xfId="1" applyNumberFormat="1" applyFont="1" applyFill="1" applyBorder="1" applyAlignment="1" applyProtection="1">
      <alignment horizontal="right" vertical="center"/>
      <protection hidden="1"/>
    </xf>
    <xf numFmtId="4" fontId="35" fillId="3" borderId="10" xfId="7" applyNumberFormat="1" applyFont="1" applyFill="1" applyBorder="1" applyAlignment="1" applyProtection="1">
      <alignment vertical="center"/>
      <protection hidden="1"/>
    </xf>
    <xf numFmtId="4" fontId="35" fillId="4" borderId="10" xfId="7" applyNumberFormat="1" applyFont="1" applyFill="1" applyBorder="1" applyAlignment="1" applyProtection="1">
      <alignment vertical="center"/>
      <protection hidden="1"/>
    </xf>
    <xf numFmtId="4" fontId="33" fillId="13" borderId="10" xfId="7" applyNumberFormat="1" applyFont="1" applyFill="1" applyBorder="1" applyAlignment="1" applyProtection="1">
      <alignment vertical="center"/>
      <protection hidden="1"/>
    </xf>
    <xf numFmtId="4" fontId="33" fillId="5" borderId="10" xfId="7" applyNumberFormat="1" applyFont="1" applyFill="1" applyBorder="1" applyAlignment="1" applyProtection="1">
      <alignment vertical="center"/>
      <protection hidden="1"/>
    </xf>
    <xf numFmtId="4" fontId="33" fillId="18" borderId="10" xfId="7" applyNumberFormat="1" applyFont="1" applyFill="1" applyBorder="1" applyAlignment="1" applyProtection="1">
      <alignment vertical="center"/>
      <protection hidden="1"/>
    </xf>
    <xf numFmtId="4" fontId="33" fillId="18" borderId="22" xfId="7" applyNumberFormat="1" applyFont="1" applyFill="1" applyBorder="1" applyAlignment="1" applyProtection="1">
      <alignment vertical="center"/>
      <protection hidden="1"/>
    </xf>
    <xf numFmtId="4" fontId="33" fillId="8" borderId="22" xfId="7" applyNumberFormat="1" applyFont="1" applyFill="1" applyBorder="1" applyAlignment="1" applyProtection="1">
      <alignment vertical="center"/>
      <protection hidden="1"/>
    </xf>
    <xf numFmtId="0" fontId="27" fillId="0" borderId="15" xfId="0" applyFont="1" applyBorder="1" applyAlignment="1" applyProtection="1">
      <alignment vertical="center"/>
      <protection hidden="1"/>
    </xf>
    <xf numFmtId="0" fontId="27" fillId="0" borderId="15" xfId="0" applyFont="1" applyBorder="1" applyAlignment="1" applyProtection="1">
      <alignment vertical="center" wrapText="1"/>
      <protection hidden="1"/>
    </xf>
    <xf numFmtId="0" fontId="27" fillId="0" borderId="0" xfId="0" applyFont="1" applyAlignment="1" applyProtection="1">
      <alignment horizontal="center" vertical="center"/>
      <protection hidden="1"/>
    </xf>
    <xf numFmtId="4" fontId="27" fillId="0" borderId="20" xfId="1" applyNumberFormat="1" applyFont="1" applyBorder="1" applyAlignment="1" applyProtection="1">
      <alignment horizontal="center" vertical="center"/>
      <protection hidden="1"/>
    </xf>
    <xf numFmtId="1" fontId="27" fillId="0" borderId="0" xfId="1" applyNumberFormat="1" applyFont="1" applyAlignment="1" applyProtection="1">
      <alignment horizontal="center" vertical="center"/>
      <protection hidden="1"/>
    </xf>
    <xf numFmtId="4" fontId="26" fillId="0" borderId="20" xfId="1" applyNumberFormat="1" applyFont="1" applyBorder="1" applyAlignment="1" applyProtection="1">
      <alignment horizontal="center" vertical="center"/>
      <protection hidden="1"/>
    </xf>
    <xf numFmtId="9" fontId="29" fillId="0" borderId="20" xfId="1" applyFont="1" applyBorder="1" applyAlignment="1" applyProtection="1">
      <alignment horizontal="center" vertical="center"/>
      <protection hidden="1"/>
    </xf>
    <xf numFmtId="165" fontId="29" fillId="0" borderId="20" xfId="1" applyNumberFormat="1" applyFont="1" applyBorder="1" applyAlignment="1" applyProtection="1">
      <alignment horizontal="center" vertical="center"/>
      <protection hidden="1"/>
    </xf>
    <xf numFmtId="171" fontId="33" fillId="0" borderId="20" xfId="7" applyNumberFormat="1" applyFont="1" applyBorder="1" applyAlignment="1" applyProtection="1">
      <alignment horizontal="center" vertical="center"/>
      <protection hidden="1"/>
    </xf>
    <xf numFmtId="0" fontId="29" fillId="0" borderId="20" xfId="0" applyFont="1" applyBorder="1" applyAlignment="1" applyProtection="1">
      <alignment vertical="center"/>
      <protection hidden="1"/>
    </xf>
    <xf numFmtId="0" fontId="22" fillId="0" borderId="17" xfId="0" applyFont="1" applyBorder="1" applyAlignment="1" applyProtection="1">
      <alignment vertical="center" wrapText="1"/>
      <protection hidden="1"/>
    </xf>
    <xf numFmtId="0" fontId="27" fillId="0" borderId="14" xfId="0" applyFont="1" applyBorder="1" applyAlignment="1" applyProtection="1">
      <alignment vertical="center"/>
      <protection hidden="1"/>
    </xf>
    <xf numFmtId="0" fontId="27" fillId="0" borderId="20" xfId="0" applyFont="1" applyBorder="1" applyAlignment="1" applyProtection="1">
      <alignment horizontal="center" vertical="center"/>
      <protection hidden="1"/>
    </xf>
    <xf numFmtId="171" fontId="35" fillId="0" borderId="20" xfId="7" applyNumberFormat="1" applyFont="1" applyBorder="1" applyAlignment="1" applyProtection="1">
      <alignment horizontal="center" vertical="center"/>
      <protection hidden="1"/>
    </xf>
    <xf numFmtId="170" fontId="56" fillId="30" borderId="0" xfId="0" applyNumberFormat="1" applyFont="1" applyFill="1" applyAlignment="1" applyProtection="1">
      <alignment vertical="center"/>
      <protection hidden="1"/>
    </xf>
    <xf numFmtId="0" fontId="57" fillId="30" borderId="0" xfId="0" applyFont="1" applyFill="1" applyAlignment="1">
      <alignment vertical="center"/>
    </xf>
    <xf numFmtId="0" fontId="57" fillId="30" borderId="0" xfId="0" applyFont="1" applyFill="1" applyAlignment="1" applyProtection="1">
      <alignment horizontal="right" vertical="center"/>
      <protection hidden="1"/>
    </xf>
    <xf numFmtId="170" fontId="57" fillId="30" borderId="0" xfId="0" applyNumberFormat="1" applyFont="1" applyFill="1" applyAlignment="1" applyProtection="1">
      <alignment vertical="center"/>
      <protection hidden="1"/>
    </xf>
    <xf numFmtId="0" fontId="57" fillId="30" borderId="0" xfId="0" applyFont="1" applyFill="1" applyAlignment="1" applyProtection="1">
      <alignment vertical="center"/>
      <protection hidden="1"/>
    </xf>
    <xf numFmtId="0" fontId="57" fillId="30" borderId="0" xfId="0" applyFont="1" applyFill="1" applyAlignment="1">
      <alignment horizontal="right" vertical="center"/>
    </xf>
    <xf numFmtId="170" fontId="58" fillId="30" borderId="0" xfId="0" applyNumberFormat="1" applyFont="1" applyFill="1" applyAlignment="1" applyProtection="1">
      <alignment vertical="center"/>
      <protection hidden="1"/>
    </xf>
    <xf numFmtId="0" fontId="58" fillId="30" borderId="0" xfId="0" applyFont="1" applyFill="1" applyAlignment="1" applyProtection="1">
      <alignment vertical="center" wrapText="1"/>
      <protection hidden="1"/>
    </xf>
    <xf numFmtId="0" fontId="58" fillId="30" borderId="0" xfId="0" applyFont="1" applyFill="1" applyAlignment="1" applyProtection="1">
      <alignment vertical="center"/>
      <protection hidden="1"/>
    </xf>
    <xf numFmtId="9" fontId="57" fillId="30" borderId="0" xfId="1" applyFont="1" applyFill="1" applyAlignment="1" applyProtection="1">
      <alignment horizontal="center" vertical="center"/>
      <protection hidden="1"/>
    </xf>
    <xf numFmtId="165" fontId="57" fillId="30" borderId="0" xfId="1" applyNumberFormat="1" applyFont="1" applyFill="1" applyAlignment="1" applyProtection="1">
      <alignment horizontal="center" vertical="center"/>
      <protection hidden="1"/>
    </xf>
    <xf numFmtId="0" fontId="58" fillId="30" borderId="0" xfId="0" quotePrefix="1" applyFont="1" applyFill="1" applyAlignment="1" applyProtection="1">
      <alignment vertical="center" textRotation="90" wrapText="1"/>
      <protection hidden="1"/>
    </xf>
    <xf numFmtId="171" fontId="59" fillId="30" borderId="0" xfId="7" applyNumberFormat="1" applyFont="1" applyFill="1" applyAlignment="1" applyProtection="1">
      <alignment horizontal="center" vertical="center"/>
      <protection hidden="1"/>
    </xf>
    <xf numFmtId="176" fontId="58" fillId="30" borderId="0" xfId="0" applyNumberFormat="1" applyFont="1" applyFill="1" applyAlignment="1" applyProtection="1">
      <alignment vertical="center"/>
      <protection hidden="1"/>
    </xf>
    <xf numFmtId="3" fontId="58" fillId="30" borderId="0" xfId="7" applyNumberFormat="1" applyFont="1" applyFill="1" applyAlignment="1" applyProtection="1">
      <alignment vertical="center"/>
      <protection hidden="1"/>
    </xf>
    <xf numFmtId="0" fontId="58" fillId="30" borderId="0" xfId="0" applyFont="1" applyFill="1" applyAlignment="1" applyProtection="1">
      <alignment horizontal="center" vertical="center"/>
      <protection hidden="1"/>
    </xf>
    <xf numFmtId="4" fontId="58" fillId="30" borderId="0" xfId="0" applyNumberFormat="1" applyFont="1" applyFill="1" applyAlignment="1" applyProtection="1">
      <alignment vertical="center"/>
      <protection hidden="1"/>
    </xf>
    <xf numFmtId="3" fontId="58" fillId="30" borderId="0" xfId="0" applyNumberFormat="1" applyFont="1" applyFill="1" applyAlignment="1" applyProtection="1">
      <alignment vertical="center"/>
      <protection hidden="1"/>
    </xf>
    <xf numFmtId="0" fontId="58" fillId="30" borderId="0" xfId="0" applyFont="1" applyFill="1" applyAlignment="1" applyProtection="1">
      <alignment horizontal="left" vertical="center" wrapText="1"/>
      <protection hidden="1"/>
    </xf>
    <xf numFmtId="0" fontId="58" fillId="30" borderId="0" xfId="0" applyFont="1" applyFill="1" applyAlignment="1" applyProtection="1">
      <alignment horizontal="center" vertical="center" wrapText="1"/>
      <protection hidden="1"/>
    </xf>
    <xf numFmtId="0" fontId="58" fillId="30" borderId="0" xfId="0" applyFont="1" applyFill="1" applyAlignment="1" applyProtection="1">
      <alignment horizontal="left" vertical="center"/>
      <protection hidden="1"/>
    </xf>
    <xf numFmtId="0" fontId="57" fillId="30" borderId="0" xfId="0" applyFont="1" applyFill="1" applyAlignment="1" applyProtection="1">
      <alignment horizontal="left" vertical="center"/>
      <protection hidden="1"/>
    </xf>
    <xf numFmtId="4" fontId="58" fillId="30" borderId="0" xfId="0" applyNumberFormat="1" applyFont="1" applyFill="1" applyAlignment="1" applyProtection="1">
      <alignment vertical="center" wrapText="1"/>
      <protection hidden="1"/>
    </xf>
    <xf numFmtId="4" fontId="58" fillId="30" borderId="0" xfId="0" applyNumberFormat="1" applyFont="1" applyFill="1" applyAlignment="1" applyProtection="1">
      <alignment horizontal="center" vertical="center" wrapText="1"/>
      <protection hidden="1"/>
    </xf>
    <xf numFmtId="1" fontId="58" fillId="30" borderId="0" xfId="1" applyNumberFormat="1" applyFont="1" applyFill="1" applyAlignment="1" applyProtection="1">
      <alignment horizontal="right" vertical="center"/>
      <protection hidden="1"/>
    </xf>
    <xf numFmtId="4" fontId="35" fillId="3" borderId="10" xfId="1" applyNumberFormat="1" applyFont="1" applyFill="1" applyBorder="1" applyAlignment="1" applyProtection="1">
      <alignment horizontal="right" vertical="center"/>
      <protection hidden="1"/>
    </xf>
    <xf numFmtId="4" fontId="35" fillId="4" borderId="10" xfId="1" applyNumberFormat="1" applyFont="1" applyFill="1" applyBorder="1" applyAlignment="1" applyProtection="1">
      <alignment horizontal="right" vertical="center"/>
      <protection hidden="1"/>
    </xf>
    <xf numFmtId="4" fontId="33" fillId="13" borderId="10" xfId="1" applyNumberFormat="1" applyFont="1" applyFill="1" applyBorder="1" applyAlignment="1" applyProtection="1">
      <alignment horizontal="right" vertical="center"/>
      <protection hidden="1"/>
    </xf>
    <xf numFmtId="4" fontId="35" fillId="10" borderId="10" xfId="1" applyNumberFormat="1" applyFont="1" applyFill="1" applyBorder="1" applyAlignment="1" applyProtection="1">
      <alignment horizontal="right" vertical="center"/>
      <protection hidden="1"/>
    </xf>
    <xf numFmtId="4" fontId="33" fillId="8" borderId="10" xfId="1" applyNumberFormat="1" applyFont="1" applyFill="1" applyBorder="1" applyAlignment="1" applyProtection="1">
      <alignment horizontal="right" vertical="center"/>
      <protection hidden="1"/>
    </xf>
    <xf numFmtId="4" fontId="22" fillId="0" borderId="12" xfId="1" applyNumberFormat="1" applyFont="1" applyBorder="1" applyAlignment="1" applyProtection="1">
      <alignment horizontal="right" vertical="center"/>
      <protection hidden="1"/>
    </xf>
    <xf numFmtId="4" fontId="23" fillId="0" borderId="12" xfId="0" applyNumberFormat="1" applyFont="1" applyBorder="1" applyAlignment="1" applyProtection="1">
      <alignment horizontal="right" vertical="center"/>
      <protection hidden="1"/>
    </xf>
    <xf numFmtId="3" fontId="35" fillId="3" borderId="10" xfId="1" applyNumberFormat="1" applyFont="1" applyFill="1" applyBorder="1" applyAlignment="1" applyProtection="1">
      <alignment horizontal="right" vertical="center"/>
      <protection hidden="1"/>
    </xf>
    <xf numFmtId="3" fontId="33" fillId="13" borderId="10" xfId="1" applyNumberFormat="1" applyFont="1" applyFill="1" applyBorder="1" applyAlignment="1" applyProtection="1">
      <alignment horizontal="right" vertical="center"/>
      <protection hidden="1"/>
    </xf>
    <xf numFmtId="3" fontId="35" fillId="10" borderId="10" xfId="1" applyNumberFormat="1" applyFont="1" applyFill="1" applyBorder="1" applyAlignment="1" applyProtection="1">
      <alignment horizontal="right" vertical="center"/>
      <protection hidden="1"/>
    </xf>
    <xf numFmtId="3" fontId="33" fillId="8" borderId="10" xfId="1" applyNumberFormat="1" applyFont="1" applyFill="1" applyBorder="1" applyAlignment="1" applyProtection="1">
      <alignment horizontal="right" vertical="center"/>
      <protection hidden="1"/>
    </xf>
    <xf numFmtId="3" fontId="27" fillId="0" borderId="10" xfId="1" applyNumberFormat="1" applyFont="1" applyBorder="1" applyAlignment="1" applyProtection="1">
      <alignment horizontal="right" vertical="center"/>
      <protection hidden="1"/>
    </xf>
    <xf numFmtId="0" fontId="23" fillId="2" borderId="18" xfId="0" applyFont="1" applyFill="1" applyBorder="1" applyAlignment="1" applyProtection="1">
      <alignment horizontal="right" vertical="center"/>
      <protection hidden="1"/>
    </xf>
    <xf numFmtId="4" fontId="26" fillId="10" borderId="10" xfId="0" applyNumberFormat="1" applyFont="1" applyFill="1" applyBorder="1" applyAlignment="1" applyProtection="1">
      <alignment vertical="center"/>
      <protection hidden="1"/>
    </xf>
    <xf numFmtId="4" fontId="26" fillId="6" borderId="10" xfId="0" applyNumberFormat="1" applyFont="1" applyFill="1" applyBorder="1" applyAlignment="1" applyProtection="1">
      <alignment vertical="center"/>
      <protection hidden="1"/>
    </xf>
    <xf numFmtId="4" fontId="27" fillId="3" borderId="10" xfId="0" applyNumberFormat="1" applyFont="1" applyFill="1" applyBorder="1" applyAlignment="1" applyProtection="1">
      <alignment vertical="center"/>
      <protection hidden="1"/>
    </xf>
    <xf numFmtId="4" fontId="27" fillId="4" borderId="10" xfId="0" applyNumberFormat="1" applyFont="1" applyFill="1" applyBorder="1" applyAlignment="1" applyProtection="1">
      <alignment vertical="center"/>
      <protection hidden="1"/>
    </xf>
    <xf numFmtId="4" fontId="27" fillId="7" borderId="10" xfId="0" applyNumberFormat="1" applyFont="1" applyFill="1" applyBorder="1" applyAlignment="1" applyProtection="1">
      <alignment vertical="center"/>
      <protection hidden="1"/>
    </xf>
    <xf numFmtId="4" fontId="27" fillId="21" borderId="10" xfId="0" applyNumberFormat="1" applyFont="1" applyFill="1" applyBorder="1" applyAlignment="1" applyProtection="1">
      <alignment vertical="center"/>
      <protection hidden="1"/>
    </xf>
    <xf numFmtId="171" fontId="57" fillId="30" borderId="0" xfId="0" applyNumberFormat="1" applyFont="1" applyFill="1" applyAlignment="1" applyProtection="1">
      <alignment vertical="center"/>
      <protection hidden="1"/>
    </xf>
    <xf numFmtId="0" fontId="6" fillId="0" borderId="0" xfId="12"/>
    <xf numFmtId="0" fontId="24" fillId="2" borderId="17" xfId="0" applyFont="1" applyFill="1" applyBorder="1" applyAlignment="1" applyProtection="1">
      <alignment horizontal="right" vertical="center"/>
      <protection hidden="1"/>
    </xf>
    <xf numFmtId="0" fontId="24" fillId="2" borderId="17" xfId="0" applyFont="1" applyFill="1" applyBorder="1" applyAlignment="1">
      <alignment horizontal="right" vertical="center"/>
    </xf>
    <xf numFmtId="0" fontId="22" fillId="0" borderId="13" xfId="0" applyFont="1" applyBorder="1" applyAlignment="1">
      <alignment horizontal="center" vertical="center"/>
    </xf>
    <xf numFmtId="171" fontId="35" fillId="0" borderId="22" xfId="7" applyNumberFormat="1" applyFont="1" applyBorder="1" applyAlignment="1" applyProtection="1">
      <alignment horizontal="center" vertical="center"/>
      <protection hidden="1"/>
    </xf>
    <xf numFmtId="171" fontId="33" fillId="0" borderId="22" xfId="7" applyNumberFormat="1" applyFont="1" applyBorder="1" applyAlignment="1" applyProtection="1">
      <alignment horizontal="center" vertical="center"/>
      <protection hidden="1"/>
    </xf>
    <xf numFmtId="1" fontId="27" fillId="0" borderId="17" xfId="1" applyNumberFormat="1" applyFont="1" applyBorder="1" applyAlignment="1" applyProtection="1">
      <alignment horizontal="right" vertical="center"/>
      <protection hidden="1"/>
    </xf>
    <xf numFmtId="0" fontId="22" fillId="0" borderId="19" xfId="0" applyFont="1" applyBorder="1" applyAlignment="1" applyProtection="1">
      <alignment horizontal="center" vertical="center"/>
      <protection hidden="1"/>
    </xf>
    <xf numFmtId="171" fontId="35" fillId="0" borderId="15" xfId="7" applyNumberFormat="1" applyFont="1" applyBorder="1" applyAlignment="1" applyProtection="1">
      <alignment horizontal="center" vertical="center"/>
      <protection hidden="1"/>
    </xf>
    <xf numFmtId="171" fontId="33" fillId="0" borderId="15" xfId="7" applyNumberFormat="1" applyFont="1" applyBorder="1" applyAlignment="1" applyProtection="1">
      <alignment horizontal="center" vertical="center"/>
      <protection hidden="1"/>
    </xf>
    <xf numFmtId="171" fontId="33" fillId="0" borderId="16" xfId="7" applyNumberFormat="1" applyFont="1" applyBorder="1" applyAlignment="1" applyProtection="1">
      <alignment horizontal="center" vertical="center"/>
      <protection hidden="1"/>
    </xf>
    <xf numFmtId="165" fontId="27" fillId="2" borderId="18" xfId="1" applyNumberFormat="1" applyFont="1" applyFill="1" applyBorder="1" applyAlignment="1" applyProtection="1">
      <alignment horizontal="center" vertical="center"/>
      <protection hidden="1"/>
    </xf>
    <xf numFmtId="0" fontId="22" fillId="0" borderId="18" xfId="0" applyFont="1" applyBorder="1" applyAlignment="1" applyProtection="1">
      <alignment horizontal="center" vertical="center"/>
      <protection hidden="1"/>
    </xf>
    <xf numFmtId="4" fontId="27" fillId="0" borderId="18" xfId="0" applyNumberFormat="1" applyFont="1" applyBorder="1" applyAlignment="1" applyProtection="1">
      <alignment vertical="center"/>
      <protection hidden="1"/>
    </xf>
    <xf numFmtId="171" fontId="33" fillId="0" borderId="11" xfId="1" applyNumberFormat="1" applyFont="1" applyBorder="1" applyAlignment="1" applyProtection="1">
      <alignment horizontal="center" vertical="center"/>
      <protection hidden="1"/>
    </xf>
    <xf numFmtId="2" fontId="29" fillId="0" borderId="12" xfId="1" applyNumberFormat="1" applyFont="1" applyBorder="1" applyAlignment="1" applyProtection="1">
      <alignment horizontal="center" vertical="center"/>
      <protection hidden="1"/>
    </xf>
    <xf numFmtId="2" fontId="29" fillId="0" borderId="13" xfId="1" applyNumberFormat="1" applyFont="1" applyBorder="1" applyAlignment="1" applyProtection="1">
      <alignment horizontal="center" vertical="center"/>
      <protection hidden="1"/>
    </xf>
    <xf numFmtId="0" fontId="4" fillId="6" borderId="2" xfId="0" applyFont="1" applyFill="1" applyBorder="1" applyAlignment="1" applyProtection="1">
      <alignment horizontal="left" vertical="center" wrapText="1"/>
      <protection hidden="1"/>
    </xf>
    <xf numFmtId="0" fontId="0" fillId="12" borderId="0" xfId="0" applyFill="1" applyProtection="1">
      <protection hidden="1"/>
    </xf>
    <xf numFmtId="177" fontId="0" fillId="12" borderId="0" xfId="0" applyNumberFormat="1" applyFill="1" applyAlignment="1" applyProtection="1">
      <alignment horizontal="left"/>
      <protection locked="0" hidden="1"/>
    </xf>
    <xf numFmtId="14" fontId="0" fillId="12" borderId="0" xfId="0" applyNumberFormat="1" applyFill="1" applyAlignment="1" applyProtection="1">
      <alignment horizontal="left"/>
      <protection locked="0" hidden="1"/>
    </xf>
    <xf numFmtId="1" fontId="0" fillId="12" borderId="0" xfId="0" applyNumberFormat="1" applyFill="1" applyAlignment="1" applyProtection="1">
      <alignment horizontal="center"/>
      <protection locked="0" hidden="1"/>
    </xf>
    <xf numFmtId="0" fontId="0" fillId="0" borderId="0" xfId="0" applyProtection="1">
      <protection hidden="1"/>
    </xf>
    <xf numFmtId="14" fontId="0" fillId="2" borderId="0" xfId="0" applyNumberFormat="1" applyFill="1" applyAlignment="1" applyProtection="1">
      <alignment horizontal="left"/>
      <protection hidden="1"/>
    </xf>
    <xf numFmtId="0" fontId="12" fillId="2" borderId="5" xfId="0" applyFont="1" applyFill="1" applyBorder="1" applyAlignment="1" applyProtection="1">
      <alignment horizontal="center" vertical="center"/>
      <protection hidden="1"/>
    </xf>
    <xf numFmtId="1" fontId="16" fillId="2" borderId="4" xfId="0" applyNumberFormat="1" applyFont="1" applyFill="1" applyBorder="1" applyAlignment="1" applyProtection="1">
      <alignment horizontal="left" vertical="center"/>
      <protection hidden="1"/>
    </xf>
    <xf numFmtId="1" fontId="16" fillId="2" borderId="0" xfId="0" applyNumberFormat="1" applyFont="1" applyFill="1" applyAlignment="1" applyProtection="1">
      <alignment horizontal="left" vertical="center"/>
      <protection hidden="1"/>
    </xf>
    <xf numFmtId="0" fontId="0" fillId="12" borderId="0" xfId="0" applyFill="1" applyAlignment="1" applyProtection="1">
      <alignment horizontal="left"/>
      <protection locked="0" hidden="1"/>
    </xf>
    <xf numFmtId="0" fontId="2" fillId="3" borderId="0" xfId="0" applyFont="1" applyFill="1" applyProtection="1">
      <protection locked="0" hidden="1"/>
    </xf>
    <xf numFmtId="0" fontId="0" fillId="3" borderId="2" xfId="0" applyFill="1" applyBorder="1" applyProtection="1">
      <protection locked="0" hidden="1"/>
    </xf>
    <xf numFmtId="0" fontId="16" fillId="3" borderId="8" xfId="0" applyFont="1" applyFill="1" applyBorder="1" applyProtection="1">
      <protection locked="0" hidden="1"/>
    </xf>
    <xf numFmtId="0" fontId="16" fillId="3" borderId="3" xfId="0" applyFont="1" applyFill="1" applyBorder="1" applyProtection="1">
      <protection locked="0" hidden="1"/>
    </xf>
    <xf numFmtId="0" fontId="22" fillId="31" borderId="10" xfId="0" applyFont="1" applyFill="1" applyBorder="1" applyAlignment="1" applyProtection="1">
      <alignment horizontal="center" vertical="center" wrapText="1"/>
      <protection hidden="1"/>
    </xf>
    <xf numFmtId="0" fontId="27" fillId="0" borderId="20" xfId="0" applyFont="1" applyBorder="1" applyAlignment="1" applyProtection="1">
      <alignment horizontal="left" vertical="center"/>
      <protection hidden="1"/>
    </xf>
    <xf numFmtId="176" fontId="27" fillId="0" borderId="0" xfId="0" applyNumberFormat="1" applyFont="1" applyAlignment="1" applyProtection="1">
      <alignment vertical="center"/>
      <protection hidden="1"/>
    </xf>
    <xf numFmtId="0" fontId="27" fillId="0" borderId="0" xfId="0" applyFont="1" applyAlignment="1" applyProtection="1">
      <alignment vertical="center" wrapText="1"/>
      <protection hidden="1"/>
    </xf>
    <xf numFmtId="0" fontId="27" fillId="0" borderId="0" xfId="0" quotePrefix="1" applyFont="1" applyAlignment="1" applyProtection="1">
      <alignment vertical="center" textRotation="90" wrapText="1"/>
      <protection hidden="1"/>
    </xf>
    <xf numFmtId="0" fontId="26" fillId="0" borderId="0" xfId="0" applyFont="1" applyAlignment="1" applyProtection="1">
      <alignment vertical="center"/>
      <protection hidden="1"/>
    </xf>
    <xf numFmtId="171" fontId="35" fillId="0" borderId="21" xfId="7" applyNumberFormat="1" applyFont="1" applyBorder="1" applyAlignment="1" applyProtection="1">
      <alignment horizontal="center" vertical="center"/>
      <protection hidden="1"/>
    </xf>
    <xf numFmtId="3" fontId="27" fillId="0" borderId="0" xfId="7" applyNumberFormat="1" applyFont="1" applyAlignment="1" applyProtection="1">
      <alignment vertical="center"/>
      <protection hidden="1"/>
    </xf>
    <xf numFmtId="0" fontId="27" fillId="0" borderId="21" xfId="0" applyFont="1" applyBorder="1" applyAlignment="1" applyProtection="1">
      <alignment horizontal="center" vertical="center"/>
      <protection hidden="1"/>
    </xf>
    <xf numFmtId="171" fontId="35" fillId="0" borderId="0" xfId="7" applyNumberFormat="1" applyFont="1" applyAlignment="1" applyProtection="1">
      <alignment vertical="center" wrapText="1"/>
      <protection hidden="1"/>
    </xf>
    <xf numFmtId="171" fontId="35" fillId="0" borderId="19" xfId="7" applyNumberFormat="1" applyFont="1" applyBorder="1" applyAlignment="1" applyProtection="1">
      <alignment horizontal="center" vertical="center"/>
      <protection hidden="1"/>
    </xf>
    <xf numFmtId="0" fontId="29" fillId="30" borderId="0" xfId="0" applyFont="1" applyFill="1" applyAlignment="1" applyProtection="1">
      <alignment vertical="center" wrapText="1"/>
      <protection hidden="1"/>
    </xf>
    <xf numFmtId="0" fontId="27" fillId="0" borderId="0" xfId="0" applyFont="1" applyAlignment="1" applyProtection="1">
      <alignment horizontal="left" vertical="center"/>
      <protection hidden="1"/>
    </xf>
    <xf numFmtId="0" fontId="32" fillId="0" borderId="0" xfId="0" applyFont="1" applyAlignment="1" applyProtection="1">
      <alignment vertical="center" wrapText="1"/>
      <protection hidden="1"/>
    </xf>
    <xf numFmtId="0" fontId="46" fillId="42" borderId="16" xfId="0" applyFont="1" applyFill="1" applyBorder="1" applyAlignment="1" applyProtection="1">
      <alignment vertical="center"/>
      <protection hidden="1"/>
    </xf>
    <xf numFmtId="0" fontId="30" fillId="42" borderId="19" xfId="0" applyFont="1" applyFill="1" applyBorder="1" applyAlignment="1" applyProtection="1">
      <alignment vertical="center"/>
      <protection hidden="1"/>
    </xf>
    <xf numFmtId="0" fontId="27" fillId="0" borderId="21" xfId="0" applyFont="1" applyBorder="1" applyAlignment="1" applyProtection="1">
      <alignment vertical="center" wrapText="1"/>
      <protection hidden="1"/>
    </xf>
    <xf numFmtId="0" fontId="32" fillId="0" borderId="20" xfId="0" applyFont="1" applyBorder="1" applyAlignment="1" applyProtection="1">
      <alignment vertical="center" wrapText="1"/>
      <protection hidden="1"/>
    </xf>
    <xf numFmtId="0" fontId="32" fillId="0" borderId="21" xfId="0" applyFont="1" applyBorder="1" applyAlignment="1" applyProtection="1">
      <alignment vertical="center" wrapText="1"/>
      <protection hidden="1"/>
    </xf>
    <xf numFmtId="3" fontId="27" fillId="0" borderId="18" xfId="1" applyNumberFormat="1" applyFont="1" applyBorder="1" applyAlignment="1" applyProtection="1">
      <alignment vertical="center"/>
      <protection hidden="1"/>
    </xf>
    <xf numFmtId="3" fontId="27" fillId="0" borderId="21" xfId="0" applyNumberFormat="1" applyFont="1" applyBorder="1" applyAlignment="1" applyProtection="1">
      <alignment vertical="center"/>
      <protection hidden="1"/>
    </xf>
    <xf numFmtId="3" fontId="27" fillId="0" borderId="17" xfId="1" applyNumberFormat="1" applyFont="1" applyBorder="1" applyAlignment="1" applyProtection="1">
      <alignment vertical="center"/>
      <protection hidden="1"/>
    </xf>
    <xf numFmtId="3" fontId="27" fillId="0" borderId="21" xfId="0" applyNumberFormat="1" applyFont="1" applyBorder="1" applyAlignment="1" applyProtection="1">
      <alignment horizontal="center" vertical="center"/>
      <protection hidden="1"/>
    </xf>
    <xf numFmtId="0" fontId="22" fillId="31" borderId="14" xfId="0" applyFont="1" applyFill="1" applyBorder="1" applyAlignment="1" applyProtection="1">
      <alignment horizontal="center" vertical="center" wrapText="1"/>
      <protection hidden="1"/>
    </xf>
    <xf numFmtId="0" fontId="22" fillId="31" borderId="16" xfId="0" applyFont="1" applyFill="1" applyBorder="1" applyAlignment="1" applyProtection="1">
      <alignment horizontal="center" vertical="center" wrapText="1"/>
      <protection hidden="1"/>
    </xf>
    <xf numFmtId="3" fontId="27" fillId="0" borderId="17" xfId="0" applyNumberFormat="1" applyFont="1" applyBorder="1" applyAlignment="1" applyProtection="1">
      <alignment horizontal="center" vertical="center"/>
      <protection hidden="1"/>
    </xf>
    <xf numFmtId="3" fontId="27" fillId="0" borderId="19" xfId="0" applyNumberFormat="1" applyFont="1" applyBorder="1" applyAlignment="1" applyProtection="1">
      <alignment horizontal="center" vertical="center"/>
      <protection hidden="1"/>
    </xf>
    <xf numFmtId="3" fontId="27" fillId="10" borderId="17" xfId="0" applyNumberFormat="1" applyFont="1" applyFill="1" applyBorder="1" applyAlignment="1" applyProtection="1">
      <alignment horizontal="center" vertical="center"/>
      <protection hidden="1"/>
    </xf>
    <xf numFmtId="3" fontId="27" fillId="10" borderId="19" xfId="0" applyNumberFormat="1" applyFont="1" applyFill="1" applyBorder="1" applyAlignment="1" applyProtection="1">
      <alignment horizontal="center" vertical="center"/>
      <protection hidden="1"/>
    </xf>
    <xf numFmtId="0" fontId="22" fillId="0" borderId="13" xfId="0" applyFont="1" applyBorder="1" applyAlignment="1" applyProtection="1">
      <alignment horizontal="center" vertical="center" wrapText="1"/>
      <protection hidden="1"/>
    </xf>
    <xf numFmtId="0" fontId="27" fillId="0" borderId="11" xfId="0" applyFont="1" applyBorder="1" applyAlignment="1" applyProtection="1">
      <alignment horizontal="center" vertical="center" wrapText="1"/>
      <protection hidden="1"/>
    </xf>
    <xf numFmtId="0" fontId="27" fillId="0" borderId="13" xfId="0" applyFont="1" applyBorder="1" applyAlignment="1" applyProtection="1">
      <alignment horizontal="center" vertical="center" wrapText="1"/>
      <protection hidden="1"/>
    </xf>
    <xf numFmtId="0" fontId="27" fillId="0" borderId="26" xfId="0" applyFont="1" applyBorder="1" applyAlignment="1" applyProtection="1">
      <alignment horizontal="left" vertical="center"/>
      <protection hidden="1"/>
    </xf>
    <xf numFmtId="0" fontId="27" fillId="0" borderId="27" xfId="0" applyFont="1" applyBorder="1" applyAlignment="1" applyProtection="1">
      <alignment horizontal="left" vertical="center"/>
      <protection hidden="1"/>
    </xf>
    <xf numFmtId="176" fontId="27" fillId="0" borderId="27" xfId="0" applyNumberFormat="1" applyFont="1" applyBorder="1" applyAlignment="1" applyProtection="1">
      <alignment vertical="center"/>
      <protection hidden="1"/>
    </xf>
    <xf numFmtId="176" fontId="27" fillId="0" borderId="28" xfId="0" applyNumberFormat="1" applyFont="1" applyBorder="1" applyAlignment="1" applyProtection="1">
      <alignment vertical="center"/>
      <protection hidden="1"/>
    </xf>
    <xf numFmtId="0" fontId="26" fillId="0" borderId="27" xfId="0" applyFont="1" applyBorder="1" applyAlignment="1" applyProtection="1">
      <alignment vertical="center"/>
      <protection hidden="1"/>
    </xf>
    <xf numFmtId="3" fontId="27" fillId="0" borderId="28" xfId="0" applyNumberFormat="1" applyFont="1" applyBorder="1" applyAlignment="1" applyProtection="1">
      <alignment vertical="center"/>
      <protection hidden="1"/>
    </xf>
    <xf numFmtId="3" fontId="27" fillId="10" borderId="0" xfId="0" applyNumberFormat="1" applyFont="1" applyFill="1" applyAlignment="1" applyProtection="1">
      <alignment horizontal="center" vertical="center"/>
      <protection hidden="1"/>
    </xf>
    <xf numFmtId="3" fontId="27" fillId="0" borderId="0" xfId="0" applyNumberFormat="1" applyFont="1" applyAlignment="1" applyProtection="1">
      <alignment horizontal="center" vertical="center"/>
      <protection hidden="1"/>
    </xf>
    <xf numFmtId="0" fontId="24" fillId="0" borderId="20" xfId="0" applyFont="1" applyBorder="1" applyAlignment="1" applyProtection="1">
      <alignment horizontal="center" vertical="center"/>
      <protection hidden="1"/>
    </xf>
    <xf numFmtId="0" fontId="24" fillId="0" borderId="21" xfId="0" applyFont="1" applyBorder="1" applyAlignment="1" applyProtection="1">
      <alignment horizontal="center" vertical="center"/>
      <protection hidden="1"/>
    </xf>
    <xf numFmtId="0" fontId="25" fillId="0" borderId="21" xfId="0" applyFont="1" applyBorder="1" applyAlignment="1" applyProtection="1">
      <alignment vertical="center"/>
      <protection hidden="1"/>
    </xf>
    <xf numFmtId="0" fontId="27" fillId="10" borderId="10" xfId="0" applyFont="1" applyFill="1" applyBorder="1" applyAlignment="1" applyProtection="1">
      <alignment horizontal="center" vertical="center" wrapText="1"/>
      <protection hidden="1"/>
    </xf>
    <xf numFmtId="0" fontId="27" fillId="3" borderId="10" xfId="0" applyFont="1" applyFill="1" applyBorder="1" applyAlignment="1" applyProtection="1">
      <alignment horizontal="center" vertical="center" wrapText="1"/>
      <protection hidden="1"/>
    </xf>
    <xf numFmtId="0" fontId="22" fillId="4" borderId="10" xfId="0" applyFont="1" applyFill="1" applyBorder="1" applyAlignment="1" applyProtection="1">
      <alignment horizontal="center" vertical="center" wrapText="1"/>
      <protection hidden="1"/>
    </xf>
    <xf numFmtId="0" fontId="22" fillId="13" borderId="10" xfId="0" applyFont="1" applyFill="1" applyBorder="1" applyAlignment="1" applyProtection="1">
      <alignment horizontal="center" vertical="center" wrapText="1"/>
      <protection hidden="1"/>
    </xf>
    <xf numFmtId="3" fontId="27" fillId="10" borderId="10" xfId="0" applyNumberFormat="1" applyFont="1" applyFill="1" applyBorder="1" applyAlignment="1" applyProtection="1">
      <alignment horizontal="center" vertical="center"/>
      <protection hidden="1"/>
    </xf>
    <xf numFmtId="0" fontId="27" fillId="0" borderId="10" xfId="0" applyFont="1" applyBorder="1" applyAlignment="1" applyProtection="1">
      <alignment horizontal="center" vertical="center" wrapText="1"/>
      <protection hidden="1"/>
    </xf>
    <xf numFmtId="3" fontId="27" fillId="10" borderId="29" xfId="0" applyNumberFormat="1" applyFont="1" applyFill="1" applyBorder="1" applyAlignment="1" applyProtection="1">
      <alignment horizontal="center" vertical="center"/>
      <protection hidden="1"/>
    </xf>
    <xf numFmtId="3" fontId="27" fillId="10" borderId="30" xfId="0" applyNumberFormat="1" applyFont="1" applyFill="1" applyBorder="1" applyAlignment="1" applyProtection="1">
      <alignment horizontal="center" vertical="center"/>
      <protection hidden="1"/>
    </xf>
    <xf numFmtId="3" fontId="27" fillId="10" borderId="32" xfId="0" applyNumberFormat="1" applyFont="1" applyFill="1" applyBorder="1" applyAlignment="1" applyProtection="1">
      <alignment horizontal="center" vertical="center"/>
      <protection hidden="1"/>
    </xf>
    <xf numFmtId="3" fontId="27" fillId="10" borderId="25" xfId="0" applyNumberFormat="1" applyFont="1" applyFill="1" applyBorder="1" applyAlignment="1" applyProtection="1">
      <alignment horizontal="center" vertical="center"/>
      <protection hidden="1"/>
    </xf>
    <xf numFmtId="3" fontId="27" fillId="10" borderId="34" xfId="0" applyNumberFormat="1" applyFont="1" applyFill="1" applyBorder="1" applyAlignment="1" applyProtection="1">
      <alignment horizontal="center" vertical="center"/>
      <protection hidden="1"/>
    </xf>
    <xf numFmtId="3" fontId="27" fillId="10" borderId="35" xfId="0" applyNumberFormat="1" applyFont="1" applyFill="1" applyBorder="1" applyAlignment="1" applyProtection="1">
      <alignment horizontal="center" vertical="center"/>
      <protection hidden="1"/>
    </xf>
    <xf numFmtId="3" fontId="27" fillId="0" borderId="30" xfId="0" applyNumberFormat="1" applyFont="1" applyBorder="1" applyAlignment="1" applyProtection="1">
      <alignment vertical="center"/>
      <protection hidden="1"/>
    </xf>
    <xf numFmtId="3" fontId="27" fillId="0" borderId="31" xfId="0" applyNumberFormat="1" applyFont="1" applyBorder="1" applyAlignment="1" applyProtection="1">
      <alignment vertical="center"/>
      <protection hidden="1"/>
    </xf>
    <xf numFmtId="0" fontId="32" fillId="0" borderId="35" xfId="0" applyFont="1" applyBorder="1" applyAlignment="1" applyProtection="1">
      <alignment vertical="center" wrapText="1"/>
      <protection hidden="1"/>
    </xf>
    <xf numFmtId="0" fontId="32" fillId="0" borderId="36" xfId="0" applyFont="1" applyBorder="1" applyAlignment="1" applyProtection="1">
      <alignment vertical="center" wrapText="1"/>
      <protection hidden="1"/>
    </xf>
    <xf numFmtId="0" fontId="27" fillId="0" borderId="12" xfId="0" applyFont="1" applyBorder="1" applyAlignment="1" applyProtection="1">
      <alignment horizontal="center" vertical="center" wrapText="1"/>
      <protection hidden="1"/>
    </xf>
    <xf numFmtId="178" fontId="27" fillId="0" borderId="10" xfId="0" applyNumberFormat="1" applyFont="1" applyBorder="1" applyAlignment="1" applyProtection="1">
      <alignment horizontal="center" vertical="center"/>
      <protection hidden="1"/>
    </xf>
    <xf numFmtId="178" fontId="27" fillId="0" borderId="30" xfId="0" applyNumberFormat="1" applyFont="1" applyBorder="1" applyAlignment="1" applyProtection="1">
      <alignment horizontal="center" vertical="center"/>
      <protection hidden="1"/>
    </xf>
    <xf numFmtId="178" fontId="27" fillId="0" borderId="31" xfId="0" applyNumberFormat="1" applyFont="1" applyBorder="1" applyAlignment="1" applyProtection="1">
      <alignment horizontal="center" vertical="center"/>
      <protection hidden="1"/>
    </xf>
    <xf numFmtId="178" fontId="27" fillId="0" borderId="25" xfId="0" applyNumberFormat="1" applyFont="1" applyBorder="1" applyAlignment="1" applyProtection="1">
      <alignment horizontal="center" vertical="center"/>
      <protection hidden="1"/>
    </xf>
    <xf numFmtId="178" fontId="27" fillId="0" borderId="33" xfId="0" applyNumberFormat="1" applyFont="1" applyBorder="1" applyAlignment="1" applyProtection="1">
      <alignment horizontal="center" vertical="center"/>
      <protection hidden="1"/>
    </xf>
    <xf numFmtId="178" fontId="27" fillId="0" borderId="35" xfId="0" applyNumberFormat="1" applyFont="1" applyBorder="1" applyAlignment="1" applyProtection="1">
      <alignment horizontal="center" vertical="center"/>
      <protection hidden="1"/>
    </xf>
    <xf numFmtId="178" fontId="27" fillId="0" borderId="36" xfId="0" applyNumberFormat="1" applyFont="1" applyBorder="1" applyAlignment="1" applyProtection="1">
      <alignment horizontal="center" vertical="center"/>
      <protection hidden="1"/>
    </xf>
    <xf numFmtId="0" fontId="8" fillId="10" borderId="0" xfId="0" applyFont="1" applyFill="1" applyProtection="1">
      <protection hidden="1"/>
    </xf>
    <xf numFmtId="0" fontId="8" fillId="15" borderId="0" xfId="0" applyFont="1" applyFill="1" applyProtection="1">
      <protection hidden="1"/>
    </xf>
    <xf numFmtId="0" fontId="7" fillId="25" borderId="0" xfId="0" applyFont="1" applyFill="1" applyProtection="1">
      <protection hidden="1"/>
    </xf>
    <xf numFmtId="0" fontId="0" fillId="25" borderId="0" xfId="0" applyFill="1" applyProtection="1">
      <protection hidden="1"/>
    </xf>
    <xf numFmtId="0" fontId="7" fillId="46" borderId="0" xfId="0" applyFont="1" applyFill="1" applyProtection="1">
      <protection hidden="1"/>
    </xf>
    <xf numFmtId="0" fontId="0" fillId="46" borderId="0" xfId="0" applyFill="1" applyProtection="1">
      <protection hidden="1"/>
    </xf>
    <xf numFmtId="1" fontId="7" fillId="8" borderId="0" xfId="0" applyNumberFormat="1" applyFont="1" applyFill="1" applyProtection="1">
      <protection hidden="1"/>
    </xf>
    <xf numFmtId="0" fontId="7" fillId="8" borderId="0" xfId="0" applyFont="1" applyFill="1" applyAlignment="1" applyProtection="1">
      <alignment horizontal="center" vertical="center"/>
      <protection locked="0"/>
    </xf>
    <xf numFmtId="0" fontId="22" fillId="13" borderId="13" xfId="0" applyFont="1" applyFill="1" applyBorder="1" applyAlignment="1" applyProtection="1">
      <alignment horizontal="center" vertical="center" wrapText="1"/>
      <protection hidden="1"/>
    </xf>
    <xf numFmtId="3" fontId="27" fillId="11" borderId="29" xfId="7" applyNumberFormat="1" applyFont="1" applyFill="1" applyBorder="1" applyAlignment="1" applyProtection="1">
      <alignment horizontal="center" vertical="center"/>
      <protection hidden="1"/>
    </xf>
    <xf numFmtId="3" fontId="27" fillId="11" borderId="30" xfId="7" applyNumberFormat="1" applyFont="1" applyFill="1" applyBorder="1" applyAlignment="1" applyProtection="1">
      <alignment horizontal="center" vertical="center"/>
      <protection hidden="1"/>
    </xf>
    <xf numFmtId="9" fontId="27" fillId="11" borderId="29" xfId="1" applyFont="1" applyFill="1" applyBorder="1" applyAlignment="1" applyProtection="1">
      <alignment horizontal="center" vertical="center"/>
      <protection hidden="1"/>
    </xf>
    <xf numFmtId="9" fontId="27" fillId="11" borderId="30" xfId="1" applyFont="1" applyFill="1" applyBorder="1" applyAlignment="1" applyProtection="1">
      <alignment horizontal="center" vertical="center"/>
      <protection hidden="1"/>
    </xf>
    <xf numFmtId="9" fontId="27" fillId="17" borderId="34" xfId="1" applyFont="1" applyFill="1" applyBorder="1" applyAlignment="1" applyProtection="1">
      <alignment horizontal="center" vertical="center"/>
      <protection hidden="1"/>
    </xf>
    <xf numFmtId="9" fontId="27" fillId="17" borderId="35" xfId="1" applyFont="1" applyFill="1" applyBorder="1" applyAlignment="1" applyProtection="1">
      <alignment horizontal="center" vertical="center"/>
      <protection hidden="1"/>
    </xf>
    <xf numFmtId="3" fontId="27" fillId="15" borderId="10" xfId="0" applyNumberFormat="1" applyFont="1" applyFill="1" applyBorder="1" applyAlignment="1" applyProtection="1">
      <alignment horizontal="center" vertical="center"/>
      <protection hidden="1"/>
    </xf>
    <xf numFmtId="3" fontId="27" fillId="17" borderId="34" xfId="7" applyNumberFormat="1" applyFont="1" applyFill="1" applyBorder="1" applyAlignment="1" applyProtection="1">
      <alignment horizontal="center" vertical="center"/>
      <protection hidden="1"/>
    </xf>
    <xf numFmtId="3" fontId="27" fillId="17" borderId="35" xfId="7" applyNumberFormat="1" applyFont="1" applyFill="1" applyBorder="1" applyAlignment="1" applyProtection="1">
      <alignment horizontal="center" vertical="center"/>
      <protection hidden="1"/>
    </xf>
    <xf numFmtId="3" fontId="27" fillId="11" borderId="31" xfId="7" applyNumberFormat="1" applyFont="1" applyFill="1" applyBorder="1" applyAlignment="1" applyProtection="1">
      <alignment horizontal="center" vertical="center"/>
      <protection hidden="1"/>
    </xf>
    <xf numFmtId="3" fontId="27" fillId="17" borderId="36" xfId="7" applyNumberFormat="1" applyFont="1" applyFill="1" applyBorder="1" applyAlignment="1" applyProtection="1">
      <alignment horizontal="center" vertical="center"/>
      <protection hidden="1"/>
    </xf>
    <xf numFmtId="0" fontId="27" fillId="3" borderId="13" xfId="0" applyFont="1" applyFill="1" applyBorder="1" applyAlignment="1" applyProtection="1">
      <alignment horizontal="center" vertical="center" wrapText="1"/>
      <protection hidden="1"/>
    </xf>
    <xf numFmtId="3" fontId="27" fillId="15" borderId="13" xfId="0" applyNumberFormat="1" applyFont="1" applyFill="1" applyBorder="1" applyAlignment="1" applyProtection="1">
      <alignment horizontal="center" vertical="center"/>
      <protection hidden="1"/>
    </xf>
    <xf numFmtId="3" fontId="27" fillId="11" borderId="38" xfId="7" applyNumberFormat="1" applyFont="1" applyFill="1" applyBorder="1" applyAlignment="1" applyProtection="1">
      <alignment horizontal="center" vertical="center"/>
      <protection hidden="1"/>
    </xf>
    <xf numFmtId="3" fontId="27" fillId="17" borderId="39" xfId="7" applyNumberFormat="1" applyFont="1" applyFill="1" applyBorder="1" applyAlignment="1" applyProtection="1">
      <alignment horizontal="center" vertical="center"/>
      <protection hidden="1"/>
    </xf>
    <xf numFmtId="0" fontId="22" fillId="4" borderId="13" xfId="0" applyFont="1" applyFill="1" applyBorder="1" applyAlignment="1" applyProtection="1">
      <alignment horizontal="center" vertical="center" wrapText="1"/>
      <protection hidden="1"/>
    </xf>
    <xf numFmtId="165" fontId="0" fillId="26" borderId="0" xfId="1" applyNumberFormat="1" applyFont="1" applyFill="1" applyAlignment="1" applyProtection="1">
      <alignment horizontal="center"/>
      <protection hidden="1"/>
    </xf>
    <xf numFmtId="2" fontId="0" fillId="0" borderId="0" xfId="0" applyNumberFormat="1"/>
    <xf numFmtId="0" fontId="3" fillId="5" borderId="2" xfId="0" applyFont="1" applyFill="1" applyBorder="1" applyAlignment="1" applyProtection="1">
      <alignment horizontal="left"/>
      <protection hidden="1"/>
    </xf>
    <xf numFmtId="0" fontId="15" fillId="3" borderId="0" xfId="0" applyFont="1" applyFill="1" applyAlignment="1" applyProtection="1">
      <alignment horizontal="right" vertical="center" wrapText="1"/>
      <protection hidden="1"/>
    </xf>
    <xf numFmtId="0" fontId="4" fillId="6" borderId="37" xfId="0" applyFont="1" applyFill="1" applyBorder="1" applyAlignment="1" applyProtection="1">
      <alignment horizontal="left" vertical="center" wrapText="1"/>
      <protection hidden="1"/>
    </xf>
    <xf numFmtId="0" fontId="4" fillId="6" borderId="2" xfId="0" applyFont="1" applyFill="1" applyBorder="1" applyAlignment="1" applyProtection="1">
      <alignment horizontal="left" vertical="center" wrapText="1"/>
      <protection hidden="1"/>
    </xf>
    <xf numFmtId="0" fontId="5" fillId="5" borderId="2" xfId="0" applyFont="1" applyFill="1" applyBorder="1" applyAlignment="1" applyProtection="1">
      <alignment horizontal="left"/>
      <protection hidden="1"/>
    </xf>
    <xf numFmtId="0" fontId="2" fillId="3" borderId="0" xfId="0" applyFont="1" applyFill="1" applyAlignment="1" applyProtection="1">
      <alignment horizontal="center"/>
      <protection hidden="1"/>
    </xf>
    <xf numFmtId="0" fontId="30" fillId="44" borderId="14" xfId="0" applyFont="1" applyFill="1" applyBorder="1" applyAlignment="1" applyProtection="1">
      <alignment horizontal="center" vertical="center" wrapText="1"/>
      <protection hidden="1"/>
    </xf>
    <xf numFmtId="0" fontId="30" fillId="19" borderId="15" xfId="0" applyFont="1" applyFill="1" applyBorder="1" applyAlignment="1" applyProtection="1">
      <alignment horizontal="center" vertical="center" wrapText="1"/>
      <protection hidden="1"/>
    </xf>
    <xf numFmtId="0" fontId="30" fillId="19" borderId="16" xfId="0" applyFont="1" applyFill="1" applyBorder="1" applyAlignment="1" applyProtection="1">
      <alignment horizontal="center" vertical="center" wrapText="1"/>
      <protection hidden="1"/>
    </xf>
    <xf numFmtId="0" fontId="30" fillId="19" borderId="17" xfId="0" applyFont="1" applyFill="1" applyBorder="1" applyAlignment="1" applyProtection="1">
      <alignment horizontal="center" vertical="center" wrapText="1"/>
      <protection hidden="1"/>
    </xf>
    <xf numFmtId="0" fontId="30" fillId="19" borderId="18" xfId="0" applyFont="1" applyFill="1" applyBorder="1" applyAlignment="1" applyProtection="1">
      <alignment horizontal="center" vertical="center" wrapText="1"/>
      <protection hidden="1"/>
    </xf>
    <xf numFmtId="0" fontId="30" fillId="19" borderId="19" xfId="0" applyFont="1" applyFill="1" applyBorder="1" applyAlignment="1" applyProtection="1">
      <alignment horizontal="center" vertical="center" wrapText="1"/>
      <protection hidden="1"/>
    </xf>
    <xf numFmtId="0" fontId="49" fillId="0" borderId="14" xfId="0" applyFont="1" applyBorder="1" applyAlignment="1" applyProtection="1">
      <alignment horizontal="left" vertical="center" wrapText="1"/>
      <protection hidden="1"/>
    </xf>
    <xf numFmtId="0" fontId="49" fillId="0" borderId="15" xfId="0" applyFont="1" applyBorder="1" applyAlignment="1" applyProtection="1">
      <alignment horizontal="left" vertical="center" wrapText="1"/>
      <protection hidden="1"/>
    </xf>
    <xf numFmtId="0" fontId="49" fillId="0" borderId="16" xfId="0" applyFont="1" applyBorder="1" applyAlignment="1" applyProtection="1">
      <alignment horizontal="left" vertical="center" wrapText="1"/>
      <protection hidden="1"/>
    </xf>
    <xf numFmtId="0" fontId="49" fillId="0" borderId="20" xfId="0" applyFont="1" applyBorder="1" applyAlignment="1" applyProtection="1">
      <alignment horizontal="left" vertical="center" wrapText="1"/>
      <protection hidden="1"/>
    </xf>
    <xf numFmtId="0" fontId="49" fillId="0" borderId="0" xfId="0" applyFont="1" applyAlignment="1" applyProtection="1">
      <alignment horizontal="left" vertical="center" wrapText="1"/>
      <protection hidden="1"/>
    </xf>
    <xf numFmtId="0" fontId="49" fillId="0" borderId="21" xfId="0" applyFont="1" applyBorder="1" applyAlignment="1" applyProtection="1">
      <alignment horizontal="left" vertical="center" wrapText="1"/>
      <protection hidden="1"/>
    </xf>
    <xf numFmtId="0" fontId="30" fillId="13" borderId="14" xfId="0" applyFont="1" applyFill="1" applyBorder="1" applyAlignment="1" applyProtection="1">
      <alignment horizontal="center" vertical="center" wrapText="1"/>
      <protection hidden="1"/>
    </xf>
    <xf numFmtId="0" fontId="30" fillId="13" borderId="15" xfId="0" applyFont="1" applyFill="1" applyBorder="1" applyAlignment="1" applyProtection="1">
      <alignment horizontal="center" vertical="center" wrapText="1"/>
      <protection hidden="1"/>
    </xf>
    <xf numFmtId="0" fontId="30" fillId="13" borderId="16" xfId="0" applyFont="1" applyFill="1" applyBorder="1" applyAlignment="1" applyProtection="1">
      <alignment horizontal="center" vertical="center" wrapText="1"/>
      <protection hidden="1"/>
    </xf>
    <xf numFmtId="0" fontId="30" fillId="13" borderId="17" xfId="0" applyFont="1" applyFill="1" applyBorder="1" applyAlignment="1" applyProtection="1">
      <alignment horizontal="center" vertical="center" wrapText="1"/>
      <protection hidden="1"/>
    </xf>
    <xf numFmtId="0" fontId="30" fillId="13" borderId="18" xfId="0" applyFont="1" applyFill="1" applyBorder="1" applyAlignment="1" applyProtection="1">
      <alignment horizontal="center" vertical="center" wrapText="1"/>
      <protection hidden="1"/>
    </xf>
    <xf numFmtId="0" fontId="30" fillId="13" borderId="19" xfId="0" applyFont="1" applyFill="1" applyBorder="1" applyAlignment="1" applyProtection="1">
      <alignment horizontal="center" vertical="center" wrapText="1"/>
      <protection hidden="1"/>
    </xf>
    <xf numFmtId="0" fontId="22" fillId="22" borderId="14" xfId="0" applyFont="1" applyFill="1" applyBorder="1" applyAlignment="1" applyProtection="1">
      <alignment horizontal="center" vertical="center"/>
      <protection hidden="1"/>
    </xf>
    <xf numFmtId="0" fontId="22" fillId="22" borderId="15" xfId="0" applyFont="1" applyFill="1" applyBorder="1" applyAlignment="1" applyProtection="1">
      <alignment horizontal="center" vertical="center"/>
      <protection hidden="1"/>
    </xf>
    <xf numFmtId="0" fontId="22" fillId="22" borderId="16" xfId="0" applyFont="1" applyFill="1" applyBorder="1" applyAlignment="1" applyProtection="1">
      <alignment horizontal="center" vertical="center"/>
      <protection hidden="1"/>
    </xf>
    <xf numFmtId="0" fontId="30" fillId="38" borderId="15" xfId="0" applyFont="1" applyFill="1" applyBorder="1" applyAlignment="1" applyProtection="1">
      <alignment horizontal="center" vertical="center" wrapText="1"/>
      <protection hidden="1"/>
    </xf>
    <xf numFmtId="0" fontId="30" fillId="38" borderId="16" xfId="0" applyFont="1" applyFill="1" applyBorder="1" applyAlignment="1" applyProtection="1">
      <alignment horizontal="center" vertical="center" wrapText="1"/>
      <protection hidden="1"/>
    </xf>
    <xf numFmtId="0" fontId="30" fillId="38" borderId="18" xfId="0" applyFont="1" applyFill="1" applyBorder="1" applyAlignment="1" applyProtection="1">
      <alignment horizontal="center" vertical="center" wrapText="1"/>
      <protection hidden="1"/>
    </xf>
    <xf numFmtId="0" fontId="30" fillId="38" borderId="19" xfId="0" applyFont="1" applyFill="1" applyBorder="1" applyAlignment="1" applyProtection="1">
      <alignment horizontal="center" vertical="center" wrapText="1"/>
      <protection hidden="1"/>
    </xf>
    <xf numFmtId="0" fontId="22" fillId="18" borderId="20" xfId="0" applyFont="1" applyFill="1" applyBorder="1" applyAlignment="1" applyProtection="1">
      <alignment horizontal="center" vertical="center"/>
      <protection hidden="1"/>
    </xf>
    <xf numFmtId="0" fontId="22" fillId="18" borderId="0" xfId="0" applyFont="1" applyFill="1" applyAlignment="1" applyProtection="1">
      <alignment horizontal="center" vertical="center"/>
      <protection hidden="1"/>
    </xf>
    <xf numFmtId="0" fontId="22" fillId="18" borderId="21" xfId="0" applyFont="1" applyFill="1" applyBorder="1" applyAlignment="1" applyProtection="1">
      <alignment horizontal="center" vertical="center"/>
      <protection hidden="1"/>
    </xf>
    <xf numFmtId="0" fontId="22" fillId="18" borderId="14" xfId="0" applyFont="1" applyFill="1" applyBorder="1" applyAlignment="1" applyProtection="1">
      <alignment horizontal="center" vertical="center"/>
      <protection hidden="1"/>
    </xf>
    <xf numFmtId="0" fontId="22" fillId="18" borderId="15" xfId="0" applyFont="1" applyFill="1" applyBorder="1" applyAlignment="1" applyProtection="1">
      <alignment horizontal="center" vertical="center"/>
      <protection hidden="1"/>
    </xf>
    <xf numFmtId="0" fontId="22" fillId="18" borderId="16" xfId="0" applyFont="1" applyFill="1" applyBorder="1" applyAlignment="1" applyProtection="1">
      <alignment horizontal="center" vertical="center"/>
      <protection hidden="1"/>
    </xf>
    <xf numFmtId="0" fontId="45" fillId="39" borderId="14" xfId="0" applyFont="1" applyFill="1" applyBorder="1" applyAlignment="1" applyProtection="1">
      <alignment horizontal="center" vertical="center" wrapText="1"/>
      <protection hidden="1"/>
    </xf>
    <xf numFmtId="0" fontId="45" fillId="39" borderId="15" xfId="0" applyFont="1" applyFill="1" applyBorder="1" applyAlignment="1" applyProtection="1">
      <alignment horizontal="center" vertical="center" wrapText="1"/>
      <protection hidden="1"/>
    </xf>
    <xf numFmtId="0" fontId="45" fillId="39" borderId="16" xfId="0" applyFont="1" applyFill="1" applyBorder="1" applyAlignment="1" applyProtection="1">
      <alignment horizontal="center" vertical="center" wrapText="1"/>
      <protection hidden="1"/>
    </xf>
    <xf numFmtId="0" fontId="45" fillId="39" borderId="17" xfId="0" applyFont="1" applyFill="1" applyBorder="1" applyAlignment="1" applyProtection="1">
      <alignment horizontal="center" vertical="center" wrapText="1"/>
      <protection hidden="1"/>
    </xf>
    <xf numFmtId="0" fontId="45" fillId="39" borderId="18" xfId="0" applyFont="1" applyFill="1" applyBorder="1" applyAlignment="1" applyProtection="1">
      <alignment horizontal="center" vertical="center" wrapText="1"/>
      <protection hidden="1"/>
    </xf>
    <xf numFmtId="0" fontId="45" fillId="39" borderId="19" xfId="0" applyFont="1" applyFill="1" applyBorder="1" applyAlignment="1" applyProtection="1">
      <alignment horizontal="center" vertical="center" wrapText="1"/>
      <protection hidden="1"/>
    </xf>
    <xf numFmtId="0" fontId="30" fillId="43" borderId="14" xfId="0" applyFont="1" applyFill="1" applyBorder="1" applyAlignment="1" applyProtection="1">
      <alignment horizontal="center" vertical="center" wrapText="1"/>
      <protection hidden="1"/>
    </xf>
    <xf numFmtId="0" fontId="30" fillId="43" borderId="15" xfId="0" applyFont="1" applyFill="1" applyBorder="1" applyAlignment="1" applyProtection="1">
      <alignment horizontal="center" vertical="center" wrapText="1"/>
      <protection hidden="1"/>
    </xf>
    <xf numFmtId="0" fontId="30" fillId="43" borderId="16" xfId="0" applyFont="1" applyFill="1" applyBorder="1" applyAlignment="1" applyProtection="1">
      <alignment horizontal="center" vertical="center" wrapText="1"/>
      <protection hidden="1"/>
    </xf>
    <xf numFmtId="0" fontId="30" fillId="43" borderId="17" xfId="0" applyFont="1" applyFill="1" applyBorder="1" applyAlignment="1" applyProtection="1">
      <alignment horizontal="center" vertical="center" wrapText="1"/>
      <protection hidden="1"/>
    </xf>
    <xf numFmtId="0" fontId="30" fillId="43" borderId="18" xfId="0" applyFont="1" applyFill="1" applyBorder="1" applyAlignment="1" applyProtection="1">
      <alignment horizontal="center" vertical="center" wrapText="1"/>
      <protection hidden="1"/>
    </xf>
    <xf numFmtId="0" fontId="30" fillId="43" borderId="19" xfId="0" applyFont="1" applyFill="1" applyBorder="1" applyAlignment="1" applyProtection="1">
      <alignment horizontal="center" vertical="center" wrapText="1"/>
      <protection hidden="1"/>
    </xf>
    <xf numFmtId="0" fontId="25" fillId="26" borderId="11" xfId="0" applyFont="1" applyFill="1" applyBorder="1" applyAlignment="1" applyProtection="1">
      <alignment horizontal="center" vertical="center"/>
      <protection hidden="1"/>
    </xf>
    <xf numFmtId="0" fontId="25" fillId="26" borderId="13" xfId="0" applyFont="1" applyFill="1" applyBorder="1" applyAlignment="1" applyProtection="1">
      <alignment horizontal="center" vertical="center"/>
      <protection hidden="1"/>
    </xf>
    <xf numFmtId="0" fontId="22" fillId="31" borderId="20" xfId="0" applyFont="1" applyFill="1" applyBorder="1" applyAlignment="1" applyProtection="1">
      <alignment horizontal="center" vertical="center" wrapText="1"/>
      <protection hidden="1"/>
    </xf>
    <xf numFmtId="0" fontId="22" fillId="31" borderId="0" xfId="0" applyFont="1" applyFill="1" applyAlignment="1" applyProtection="1">
      <alignment horizontal="center" vertical="center" wrapText="1"/>
      <protection hidden="1"/>
    </xf>
    <xf numFmtId="0" fontId="22" fillId="31" borderId="21" xfId="0" applyFont="1" applyFill="1" applyBorder="1" applyAlignment="1" applyProtection="1">
      <alignment horizontal="center" vertical="center" wrapText="1"/>
      <protection hidden="1"/>
    </xf>
    <xf numFmtId="0" fontId="22" fillId="31" borderId="17" xfId="0" applyFont="1" applyFill="1" applyBorder="1" applyAlignment="1" applyProtection="1">
      <alignment horizontal="center" vertical="center" wrapText="1"/>
      <protection hidden="1"/>
    </xf>
    <xf numFmtId="0" fontId="22" fillId="31" borderId="18" xfId="0" applyFont="1" applyFill="1" applyBorder="1" applyAlignment="1" applyProtection="1">
      <alignment horizontal="center" vertical="center" wrapText="1"/>
      <protection hidden="1"/>
    </xf>
    <xf numFmtId="0" fontId="22" fillId="31" borderId="19" xfId="0" applyFont="1" applyFill="1" applyBorder="1" applyAlignment="1" applyProtection="1">
      <alignment horizontal="center" vertical="center" wrapText="1"/>
      <protection hidden="1"/>
    </xf>
    <xf numFmtId="0" fontId="24" fillId="45" borderId="11" xfId="0" applyFont="1" applyFill="1" applyBorder="1" applyAlignment="1" applyProtection="1">
      <alignment horizontal="center" vertical="center"/>
      <protection hidden="1"/>
    </xf>
    <xf numFmtId="0" fontId="24" fillId="45" borderId="13" xfId="0" applyFont="1" applyFill="1" applyBorder="1" applyAlignment="1" applyProtection="1">
      <alignment horizontal="center" vertical="center"/>
      <protection hidden="1"/>
    </xf>
    <xf numFmtId="0" fontId="24" fillId="15" borderId="11" xfId="0" applyFont="1" applyFill="1" applyBorder="1" applyAlignment="1" applyProtection="1">
      <alignment horizontal="center" vertical="center"/>
      <protection hidden="1"/>
    </xf>
    <xf numFmtId="0" fontId="24" fillId="15" borderId="12" xfId="0" applyFont="1" applyFill="1" applyBorder="1" applyAlignment="1" applyProtection="1">
      <alignment horizontal="center" vertical="center"/>
      <protection hidden="1"/>
    </xf>
    <xf numFmtId="0" fontId="24" fillId="15" borderId="13" xfId="0" applyFont="1" applyFill="1" applyBorder="1" applyAlignment="1" applyProtection="1">
      <alignment horizontal="center" vertical="center"/>
      <protection hidden="1"/>
    </xf>
    <xf numFmtId="0" fontId="22" fillId="16" borderId="14" xfId="0" applyFont="1" applyFill="1" applyBorder="1" applyAlignment="1" applyProtection="1">
      <alignment horizontal="center" vertical="center" wrapText="1"/>
      <protection hidden="1"/>
    </xf>
    <xf numFmtId="0" fontId="22" fillId="16" borderId="15" xfId="0" applyFont="1" applyFill="1" applyBorder="1" applyAlignment="1" applyProtection="1">
      <alignment horizontal="center" vertical="center" wrapText="1"/>
      <protection hidden="1"/>
    </xf>
    <xf numFmtId="0" fontId="22" fillId="16" borderId="16" xfId="0" applyFont="1" applyFill="1" applyBorder="1" applyAlignment="1" applyProtection="1">
      <alignment horizontal="center" vertical="center" wrapText="1"/>
      <protection hidden="1"/>
    </xf>
    <xf numFmtId="0" fontId="22" fillId="16" borderId="17" xfId="0" applyFont="1" applyFill="1" applyBorder="1" applyAlignment="1" applyProtection="1">
      <alignment horizontal="center" vertical="center" wrapText="1"/>
      <protection hidden="1"/>
    </xf>
    <xf numFmtId="0" fontId="22" fillId="16" borderId="18" xfId="0" applyFont="1" applyFill="1" applyBorder="1" applyAlignment="1" applyProtection="1">
      <alignment horizontal="center" vertical="center" wrapText="1"/>
      <protection hidden="1"/>
    </xf>
    <xf numFmtId="0" fontId="22" fillId="16" borderId="19" xfId="0" applyFont="1" applyFill="1" applyBorder="1" applyAlignment="1" applyProtection="1">
      <alignment horizontal="center" vertical="center" wrapText="1"/>
      <protection hidden="1"/>
    </xf>
    <xf numFmtId="0" fontId="24" fillId="2" borderId="11" xfId="0" applyFont="1" applyFill="1" applyBorder="1" applyAlignment="1" applyProtection="1">
      <alignment horizontal="center" vertical="center"/>
      <protection hidden="1"/>
    </xf>
    <xf numFmtId="0" fontId="24" fillId="2" borderId="13" xfId="0" applyFont="1" applyFill="1" applyBorder="1" applyAlignment="1" applyProtection="1">
      <alignment horizontal="center" vertical="center"/>
      <protection hidden="1"/>
    </xf>
    <xf numFmtId="0" fontId="24" fillId="11" borderId="11" xfId="0" applyFont="1" applyFill="1" applyBorder="1" applyAlignment="1" applyProtection="1">
      <alignment horizontal="center" vertical="center"/>
      <protection hidden="1"/>
    </xf>
    <xf numFmtId="0" fontId="24" fillId="11" borderId="12" xfId="0" applyFont="1" applyFill="1" applyBorder="1" applyAlignment="1" applyProtection="1">
      <alignment horizontal="center" vertical="center"/>
      <protection hidden="1"/>
    </xf>
    <xf numFmtId="0" fontId="24" fillId="11" borderId="13" xfId="0" applyFont="1" applyFill="1" applyBorder="1" applyAlignment="1" applyProtection="1">
      <alignment horizontal="center" vertical="center"/>
      <protection hidden="1"/>
    </xf>
    <xf numFmtId="0" fontId="24" fillId="17" borderId="11" xfId="0" applyFont="1" applyFill="1" applyBorder="1" applyAlignment="1" applyProtection="1">
      <alignment horizontal="center" vertical="center"/>
      <protection hidden="1"/>
    </xf>
    <xf numFmtId="0" fontId="24" fillId="17" borderId="12" xfId="0" applyFont="1" applyFill="1" applyBorder="1" applyAlignment="1" applyProtection="1">
      <alignment horizontal="center" vertical="center"/>
      <protection hidden="1"/>
    </xf>
    <xf numFmtId="0" fontId="22" fillId="13" borderId="11" xfId="0" applyFont="1" applyFill="1" applyBorder="1" applyAlignment="1" applyProtection="1">
      <alignment horizontal="center" vertical="center"/>
      <protection hidden="1"/>
    </xf>
    <xf numFmtId="0" fontId="22" fillId="13" borderId="12" xfId="0" applyFont="1" applyFill="1" applyBorder="1" applyAlignment="1" applyProtection="1">
      <alignment horizontal="center" vertical="center"/>
      <protection hidden="1"/>
    </xf>
    <xf numFmtId="0" fontId="22" fillId="13" borderId="13" xfId="0" applyFont="1" applyFill="1" applyBorder="1" applyAlignment="1" applyProtection="1">
      <alignment horizontal="center" vertical="center"/>
      <protection hidden="1"/>
    </xf>
    <xf numFmtId="0" fontId="22" fillId="18" borderId="12" xfId="0" applyFont="1" applyFill="1" applyBorder="1" applyAlignment="1" applyProtection="1">
      <alignment horizontal="center" vertical="center"/>
      <protection hidden="1"/>
    </xf>
    <xf numFmtId="0" fontId="22" fillId="18" borderId="11" xfId="0" applyFont="1" applyFill="1" applyBorder="1" applyAlignment="1" applyProtection="1">
      <alignment horizontal="center" vertical="center"/>
      <protection hidden="1"/>
    </xf>
    <xf numFmtId="0" fontId="22" fillId="18" borderId="13" xfId="0" applyFont="1" applyFill="1" applyBorder="1" applyAlignment="1" applyProtection="1">
      <alignment horizontal="center" vertical="center"/>
      <protection hidden="1"/>
    </xf>
    <xf numFmtId="0" fontId="24" fillId="32" borderId="11" xfId="0" applyFont="1" applyFill="1" applyBorder="1" applyAlignment="1" applyProtection="1">
      <alignment horizontal="center" vertical="center"/>
      <protection hidden="1"/>
    </xf>
    <xf numFmtId="0" fontId="24" fillId="32" borderId="12" xfId="0" applyFont="1" applyFill="1" applyBorder="1" applyAlignment="1" applyProtection="1">
      <alignment horizontal="center" vertical="center"/>
      <protection hidden="1"/>
    </xf>
    <xf numFmtId="0" fontId="24" fillId="32" borderId="13" xfId="0" applyFont="1" applyFill="1" applyBorder="1" applyAlignment="1" applyProtection="1">
      <alignment horizontal="center" vertical="center"/>
      <protection hidden="1"/>
    </xf>
    <xf numFmtId="0" fontId="24" fillId="0" borderId="11" xfId="0" applyFont="1" applyBorder="1" applyAlignment="1" applyProtection="1">
      <alignment horizontal="center" vertical="center" wrapText="1"/>
      <protection hidden="1"/>
    </xf>
    <xf numFmtId="0" fontId="24" fillId="0" borderId="13" xfId="0" applyFont="1" applyBorder="1" applyAlignment="1" applyProtection="1">
      <alignment horizontal="center" vertical="center" wrapText="1"/>
      <protection hidden="1"/>
    </xf>
    <xf numFmtId="0" fontId="24" fillId="11" borderId="10" xfId="0" applyFont="1" applyFill="1" applyBorder="1" applyAlignment="1" applyProtection="1">
      <alignment horizontal="center" vertical="center"/>
      <protection hidden="1"/>
    </xf>
    <xf numFmtId="0" fontId="24" fillId="17" borderId="10" xfId="0" applyFont="1" applyFill="1" applyBorder="1" applyAlignment="1" applyProtection="1">
      <alignment horizontal="center" vertical="center"/>
      <protection hidden="1"/>
    </xf>
    <xf numFmtId="0" fontId="22" fillId="16" borderId="10" xfId="0" applyFont="1" applyFill="1" applyBorder="1" applyAlignment="1" applyProtection="1">
      <alignment horizontal="center" vertical="center" wrapText="1"/>
      <protection hidden="1"/>
    </xf>
    <xf numFmtId="0" fontId="22" fillId="14" borderId="10" xfId="0" applyFont="1" applyFill="1" applyBorder="1" applyAlignment="1" applyProtection="1">
      <alignment horizontal="center" vertical="center"/>
      <protection hidden="1"/>
    </xf>
    <xf numFmtId="0" fontId="24" fillId="9" borderId="10" xfId="0" applyFont="1" applyFill="1" applyBorder="1" applyAlignment="1" applyProtection="1">
      <alignment horizontal="center" vertical="center"/>
      <protection hidden="1"/>
    </xf>
    <xf numFmtId="0" fontId="22" fillId="31" borderId="10" xfId="0" applyFont="1" applyFill="1" applyBorder="1" applyAlignment="1" applyProtection="1">
      <alignment horizontal="center" vertical="center" wrapText="1"/>
      <protection hidden="1"/>
    </xf>
    <xf numFmtId="0" fontId="22" fillId="25" borderId="14" xfId="0" applyFont="1" applyFill="1" applyBorder="1" applyAlignment="1" applyProtection="1">
      <alignment horizontal="center" vertical="center"/>
      <protection hidden="1"/>
    </xf>
    <xf numFmtId="0" fontId="22" fillId="25" borderId="16" xfId="0" applyFont="1" applyFill="1" applyBorder="1" applyAlignment="1" applyProtection="1">
      <alignment horizontal="center" vertical="center"/>
      <protection hidden="1"/>
    </xf>
    <xf numFmtId="0" fontId="22" fillId="24" borderId="14" xfId="0" applyFont="1" applyFill="1" applyBorder="1" applyAlignment="1" applyProtection="1">
      <alignment horizontal="center" vertical="center"/>
      <protection hidden="1"/>
    </xf>
    <xf numFmtId="0" fontId="22" fillId="24" borderId="16" xfId="0" applyFont="1" applyFill="1" applyBorder="1" applyAlignment="1" applyProtection="1">
      <alignment horizontal="center" vertical="center"/>
      <protection hidden="1"/>
    </xf>
    <xf numFmtId="0" fontId="22" fillId="13" borderId="14" xfId="0" applyFont="1" applyFill="1" applyBorder="1" applyAlignment="1" applyProtection="1">
      <alignment horizontal="center" vertical="center"/>
      <protection hidden="1"/>
    </xf>
    <xf numFmtId="0" fontId="22" fillId="13" borderId="16" xfId="0" applyFont="1" applyFill="1" applyBorder="1" applyAlignment="1" applyProtection="1">
      <alignment horizontal="center" vertical="center"/>
      <protection hidden="1"/>
    </xf>
    <xf numFmtId="0" fontId="24" fillId="23" borderId="14" xfId="0" applyFont="1" applyFill="1" applyBorder="1" applyAlignment="1" applyProtection="1">
      <alignment horizontal="center" vertical="center"/>
      <protection hidden="1"/>
    </xf>
    <xf numFmtId="0" fontId="24" fillId="23" borderId="16" xfId="0" applyFont="1" applyFill="1" applyBorder="1" applyAlignment="1" applyProtection="1">
      <alignment horizontal="center" vertical="center"/>
      <protection hidden="1"/>
    </xf>
    <xf numFmtId="0" fontId="31" fillId="26" borderId="14" xfId="0" applyFont="1" applyFill="1" applyBorder="1" applyAlignment="1" applyProtection="1">
      <alignment horizontal="center" vertical="center" wrapText="1"/>
      <protection hidden="1"/>
    </xf>
    <xf numFmtId="0" fontId="31" fillId="26" borderId="15" xfId="0" applyFont="1" applyFill="1" applyBorder="1" applyAlignment="1" applyProtection="1">
      <alignment horizontal="center" vertical="center" wrapText="1"/>
      <protection hidden="1"/>
    </xf>
    <xf numFmtId="0" fontId="31" fillId="26" borderId="16" xfId="0" applyFont="1" applyFill="1" applyBorder="1" applyAlignment="1" applyProtection="1">
      <alignment horizontal="center" vertical="center" wrapText="1"/>
      <protection hidden="1"/>
    </xf>
    <xf numFmtId="0" fontId="31" fillId="26" borderId="17" xfId="0" applyFont="1" applyFill="1" applyBorder="1" applyAlignment="1" applyProtection="1">
      <alignment horizontal="center" vertical="center" wrapText="1"/>
      <protection hidden="1"/>
    </xf>
    <xf numFmtId="0" fontId="31" fillId="26" borderId="18" xfId="0" applyFont="1" applyFill="1" applyBorder="1" applyAlignment="1" applyProtection="1">
      <alignment horizontal="center" vertical="center" wrapText="1"/>
      <protection hidden="1"/>
    </xf>
    <xf numFmtId="0" fontId="31" fillId="26" borderId="19" xfId="0" applyFont="1" applyFill="1" applyBorder="1" applyAlignment="1" applyProtection="1">
      <alignment horizontal="center" vertical="center" wrapText="1"/>
      <protection hidden="1"/>
    </xf>
    <xf numFmtId="0" fontId="25" fillId="6" borderId="11" xfId="0" applyFont="1" applyFill="1" applyBorder="1" applyAlignment="1" applyProtection="1">
      <alignment horizontal="center" vertical="center"/>
      <protection hidden="1"/>
    </xf>
    <xf numFmtId="0" fontId="25" fillId="6" borderId="12" xfId="0" applyFont="1" applyFill="1" applyBorder="1" applyAlignment="1" applyProtection="1">
      <alignment horizontal="center" vertical="center"/>
      <protection hidden="1"/>
    </xf>
    <xf numFmtId="0" fontId="25" fillId="6" borderId="13" xfId="0" applyFont="1" applyFill="1" applyBorder="1" applyAlignment="1" applyProtection="1">
      <alignment horizontal="center" vertical="center"/>
      <protection hidden="1"/>
    </xf>
    <xf numFmtId="0" fontId="22" fillId="22" borderId="11" xfId="0" applyFont="1" applyFill="1" applyBorder="1" applyAlignment="1" applyProtection="1">
      <alignment horizontal="center" vertical="center"/>
      <protection hidden="1"/>
    </xf>
    <xf numFmtId="0" fontId="22" fillId="22" borderId="12" xfId="0" applyFont="1" applyFill="1" applyBorder="1" applyAlignment="1" applyProtection="1">
      <alignment horizontal="center" vertical="center"/>
      <protection hidden="1"/>
    </xf>
    <xf numFmtId="0" fontId="22" fillId="22" borderId="13" xfId="0" applyFont="1" applyFill="1" applyBorder="1" applyAlignment="1" applyProtection="1">
      <alignment horizontal="center" vertical="center"/>
      <protection hidden="1"/>
    </xf>
    <xf numFmtId="0" fontId="25" fillId="21" borderId="11" xfId="0" applyFont="1" applyFill="1" applyBorder="1" applyAlignment="1" applyProtection="1">
      <alignment horizontal="center" vertical="center"/>
      <protection hidden="1"/>
    </xf>
    <xf numFmtId="0" fontId="25" fillId="21" borderId="12" xfId="0" applyFont="1" applyFill="1" applyBorder="1" applyAlignment="1" applyProtection="1">
      <alignment horizontal="center" vertical="center"/>
      <protection hidden="1"/>
    </xf>
    <xf numFmtId="0" fontId="25" fillId="21" borderId="13" xfId="0" applyFont="1" applyFill="1" applyBorder="1" applyAlignment="1" applyProtection="1">
      <alignment horizontal="center" vertical="center"/>
      <protection hidden="1"/>
    </xf>
    <xf numFmtId="0" fontId="22" fillId="27" borderId="11" xfId="0" applyFont="1" applyFill="1" applyBorder="1" applyAlignment="1" applyProtection="1">
      <alignment horizontal="center" vertical="center"/>
      <protection hidden="1"/>
    </xf>
    <xf numFmtId="0" fontId="22" fillId="27" borderId="12" xfId="0" applyFont="1" applyFill="1" applyBorder="1" applyAlignment="1" applyProtection="1">
      <alignment horizontal="center" vertical="center"/>
      <protection hidden="1"/>
    </xf>
    <xf numFmtId="0" fontId="22" fillId="27" borderId="13" xfId="0" applyFont="1" applyFill="1" applyBorder="1" applyAlignment="1" applyProtection="1">
      <alignment horizontal="center" vertical="center"/>
      <protection hidden="1"/>
    </xf>
    <xf numFmtId="0" fontId="22" fillId="18" borderId="17" xfId="0" applyFont="1" applyFill="1" applyBorder="1" applyAlignment="1" applyProtection="1">
      <alignment horizontal="center" vertical="center"/>
      <protection hidden="1"/>
    </xf>
    <xf numFmtId="0" fontId="22" fillId="18" borderId="18" xfId="0" applyFont="1" applyFill="1" applyBorder="1" applyAlignment="1" applyProtection="1">
      <alignment horizontal="center" vertical="center"/>
      <protection hidden="1"/>
    </xf>
    <xf numFmtId="0" fontId="22" fillId="18" borderId="19" xfId="0" applyFont="1" applyFill="1" applyBorder="1" applyAlignment="1" applyProtection="1">
      <alignment horizontal="center" vertical="center"/>
      <protection hidden="1"/>
    </xf>
    <xf numFmtId="0" fontId="24" fillId="12" borderId="14" xfId="0" applyFont="1" applyFill="1" applyBorder="1" applyAlignment="1" applyProtection="1">
      <alignment horizontal="center" vertical="center"/>
      <protection hidden="1"/>
    </xf>
    <xf numFmtId="0" fontId="24" fillId="12" borderId="15" xfId="0" applyFont="1" applyFill="1" applyBorder="1" applyAlignment="1" applyProtection="1">
      <alignment horizontal="center" vertical="center"/>
      <protection hidden="1"/>
    </xf>
    <xf numFmtId="0" fontId="24" fillId="12" borderId="16" xfId="0" applyFont="1" applyFill="1" applyBorder="1" applyAlignment="1" applyProtection="1">
      <alignment horizontal="center" vertical="center"/>
      <protection hidden="1"/>
    </xf>
    <xf numFmtId="0" fontId="21" fillId="12" borderId="17" xfId="0" applyFont="1" applyFill="1" applyBorder="1" applyAlignment="1" applyProtection="1">
      <alignment horizontal="center" vertical="center"/>
      <protection hidden="1"/>
    </xf>
    <xf numFmtId="0" fontId="21" fillId="12" borderId="18" xfId="0" applyFont="1" applyFill="1" applyBorder="1" applyAlignment="1" applyProtection="1">
      <alignment horizontal="center" vertical="center"/>
      <protection hidden="1"/>
    </xf>
    <xf numFmtId="0" fontId="21" fillId="12" borderId="19" xfId="0" applyFont="1" applyFill="1" applyBorder="1" applyAlignment="1" applyProtection="1">
      <alignment horizontal="center" vertical="center"/>
      <protection hidden="1"/>
    </xf>
    <xf numFmtId="0" fontId="22" fillId="14" borderId="0" xfId="0" applyFont="1" applyFill="1" applyAlignment="1" applyProtection="1">
      <alignment horizontal="center" vertical="center" wrapText="1"/>
      <protection hidden="1"/>
    </xf>
    <xf numFmtId="0" fontId="22" fillId="14" borderId="21" xfId="0" applyFont="1" applyFill="1" applyBorder="1" applyAlignment="1" applyProtection="1">
      <alignment horizontal="center" vertical="center" wrapText="1"/>
      <protection hidden="1"/>
    </xf>
    <xf numFmtId="0" fontId="22" fillId="14" borderId="18" xfId="0" applyFont="1" applyFill="1" applyBorder="1" applyAlignment="1" applyProtection="1">
      <alignment horizontal="center" vertical="center" wrapText="1"/>
      <protection hidden="1"/>
    </xf>
    <xf numFmtId="0" fontId="22" fillId="14" borderId="19" xfId="0" applyFont="1" applyFill="1" applyBorder="1" applyAlignment="1" applyProtection="1">
      <alignment horizontal="center" vertical="center" wrapText="1"/>
      <protection hidden="1"/>
    </xf>
    <xf numFmtId="0" fontId="24" fillId="9" borderId="20" xfId="0" applyFont="1" applyFill="1" applyBorder="1" applyAlignment="1" applyProtection="1">
      <alignment horizontal="center" vertical="center" wrapText="1"/>
      <protection hidden="1"/>
    </xf>
    <xf numFmtId="0" fontId="24" fillId="9" borderId="0" xfId="0" applyFont="1" applyFill="1" applyAlignment="1" applyProtection="1">
      <alignment horizontal="center" vertical="center" wrapText="1"/>
      <protection hidden="1"/>
    </xf>
    <xf numFmtId="0" fontId="24" fillId="9" borderId="21" xfId="0" applyFont="1" applyFill="1" applyBorder="1" applyAlignment="1" applyProtection="1">
      <alignment horizontal="center" vertical="center" wrapText="1"/>
      <protection hidden="1"/>
    </xf>
    <xf numFmtId="0" fontId="24" fillId="9" borderId="17" xfId="0" applyFont="1" applyFill="1" applyBorder="1" applyAlignment="1" applyProtection="1">
      <alignment horizontal="center" vertical="center" wrapText="1"/>
      <protection hidden="1"/>
    </xf>
    <xf numFmtId="0" fontId="24" fillId="9" borderId="18" xfId="0" applyFont="1" applyFill="1" applyBorder="1" applyAlignment="1" applyProtection="1">
      <alignment horizontal="center" vertical="center" wrapText="1"/>
      <protection hidden="1"/>
    </xf>
    <xf numFmtId="0" fontId="24" fillId="9" borderId="19" xfId="0" applyFont="1" applyFill="1" applyBorder="1" applyAlignment="1" applyProtection="1">
      <alignment horizontal="center" vertical="center" wrapText="1"/>
      <protection hidden="1"/>
    </xf>
    <xf numFmtId="0" fontId="24" fillId="0" borderId="12" xfId="0" applyFont="1" applyBorder="1" applyAlignment="1" applyProtection="1">
      <alignment horizontal="center" vertical="center" wrapText="1"/>
      <protection hidden="1"/>
    </xf>
    <xf numFmtId="0" fontId="22" fillId="24" borderId="11" xfId="0" applyFont="1" applyFill="1" applyBorder="1" applyAlignment="1" applyProtection="1">
      <alignment horizontal="center" vertical="center"/>
      <protection hidden="1"/>
    </xf>
    <xf numFmtId="0" fontId="22" fillId="24" borderId="12" xfId="0" applyFont="1" applyFill="1" applyBorder="1" applyAlignment="1" applyProtection="1">
      <alignment horizontal="center" vertical="center"/>
      <protection hidden="1"/>
    </xf>
    <xf numFmtId="0" fontId="22" fillId="24" borderId="13" xfId="0" applyFont="1" applyFill="1" applyBorder="1" applyAlignment="1" applyProtection="1">
      <alignment horizontal="center" vertical="center"/>
      <protection hidden="1"/>
    </xf>
    <xf numFmtId="0" fontId="33" fillId="33" borderId="14" xfId="0" applyFont="1" applyFill="1" applyBorder="1" applyAlignment="1" applyProtection="1">
      <alignment horizontal="center" vertical="center" wrapText="1"/>
      <protection hidden="1"/>
    </xf>
    <xf numFmtId="0" fontId="33" fillId="33" borderId="16" xfId="0" applyFont="1" applyFill="1" applyBorder="1" applyAlignment="1" applyProtection="1">
      <alignment horizontal="center" vertical="center" wrapText="1"/>
      <protection hidden="1"/>
    </xf>
    <xf numFmtId="0" fontId="33" fillId="33" borderId="17" xfId="0" applyFont="1" applyFill="1" applyBorder="1" applyAlignment="1" applyProtection="1">
      <alignment horizontal="center" vertical="center" wrapText="1"/>
      <protection hidden="1"/>
    </xf>
    <xf numFmtId="0" fontId="33" fillId="33" borderId="19" xfId="0" applyFont="1" applyFill="1" applyBorder="1" applyAlignment="1" applyProtection="1">
      <alignment horizontal="center" vertical="center" wrapText="1"/>
      <protection hidden="1"/>
    </xf>
    <xf numFmtId="0" fontId="30" fillId="28" borderId="14" xfId="0" applyFont="1" applyFill="1" applyBorder="1" applyAlignment="1" applyProtection="1">
      <alignment horizontal="center" vertical="center" wrapText="1"/>
      <protection hidden="1"/>
    </xf>
    <xf numFmtId="0" fontId="30" fillId="28" borderId="15" xfId="0" applyFont="1" applyFill="1" applyBorder="1" applyAlignment="1" applyProtection="1">
      <alignment horizontal="center" vertical="center" wrapText="1"/>
      <protection hidden="1"/>
    </xf>
    <xf numFmtId="0" fontId="30" fillId="28" borderId="16" xfId="0" applyFont="1" applyFill="1" applyBorder="1" applyAlignment="1" applyProtection="1">
      <alignment horizontal="center" vertical="center" wrapText="1"/>
      <protection hidden="1"/>
    </xf>
    <xf numFmtId="0" fontId="30" fillId="28" borderId="17" xfId="0" applyFont="1" applyFill="1" applyBorder="1" applyAlignment="1" applyProtection="1">
      <alignment horizontal="center" vertical="center" wrapText="1"/>
      <protection hidden="1"/>
    </xf>
    <xf numFmtId="0" fontId="30" fillId="28" borderId="18" xfId="0" applyFont="1" applyFill="1" applyBorder="1" applyAlignment="1" applyProtection="1">
      <alignment horizontal="center" vertical="center" wrapText="1"/>
      <protection hidden="1"/>
    </xf>
    <xf numFmtId="0" fontId="30" fillId="28" borderId="19" xfId="0" applyFont="1" applyFill="1" applyBorder="1" applyAlignment="1" applyProtection="1">
      <alignment horizontal="center" vertical="center" wrapText="1"/>
      <protection hidden="1"/>
    </xf>
    <xf numFmtId="0" fontId="45" fillId="37" borderId="23" xfId="0" applyFont="1" applyFill="1" applyBorder="1" applyAlignment="1" applyProtection="1">
      <alignment horizontal="center" vertical="center"/>
      <protection hidden="1"/>
    </xf>
    <xf numFmtId="0" fontId="45" fillId="37" borderId="15" xfId="0" applyFont="1" applyFill="1" applyBorder="1" applyAlignment="1" applyProtection="1">
      <alignment horizontal="center" vertical="center"/>
      <protection hidden="1"/>
    </xf>
    <xf numFmtId="0" fontId="45" fillId="37" borderId="16" xfId="0" applyFont="1" applyFill="1" applyBorder="1" applyAlignment="1" applyProtection="1">
      <alignment horizontal="center" vertical="center"/>
      <protection hidden="1"/>
    </xf>
    <xf numFmtId="0" fontId="45" fillId="37" borderId="22" xfId="0" applyFont="1" applyFill="1" applyBorder="1" applyAlignment="1" applyProtection="1">
      <alignment horizontal="center" vertical="center"/>
      <protection hidden="1"/>
    </xf>
    <xf numFmtId="0" fontId="45" fillId="37" borderId="18" xfId="0" applyFont="1" applyFill="1" applyBorder="1" applyAlignment="1" applyProtection="1">
      <alignment horizontal="center" vertical="center"/>
      <protection hidden="1"/>
    </xf>
    <xf numFmtId="0" fontId="45" fillId="37" borderId="19" xfId="0" applyFont="1" applyFill="1" applyBorder="1" applyAlignment="1" applyProtection="1">
      <alignment horizontal="center" vertical="center"/>
      <protection hidden="1"/>
    </xf>
    <xf numFmtId="1" fontId="27" fillId="32" borderId="11" xfId="1" applyNumberFormat="1" applyFont="1" applyFill="1" applyBorder="1" applyAlignment="1" applyProtection="1">
      <alignment horizontal="right" vertical="center"/>
      <protection hidden="1"/>
    </xf>
    <xf numFmtId="1" fontId="27" fillId="32" borderId="12" xfId="1" applyNumberFormat="1" applyFont="1" applyFill="1" applyBorder="1" applyAlignment="1" applyProtection="1">
      <alignment horizontal="right" vertical="center"/>
      <protection hidden="1"/>
    </xf>
    <xf numFmtId="0" fontId="22" fillId="25" borderId="11" xfId="0" applyFont="1" applyFill="1" applyBorder="1" applyAlignment="1" applyProtection="1">
      <alignment horizontal="center" vertical="center"/>
      <protection hidden="1"/>
    </xf>
    <xf numFmtId="0" fontId="22" fillId="25" borderId="12" xfId="0" applyFont="1" applyFill="1" applyBorder="1" applyAlignment="1" applyProtection="1">
      <alignment horizontal="center" vertical="center"/>
      <protection hidden="1"/>
    </xf>
    <xf numFmtId="0" fontId="27" fillId="23" borderId="11" xfId="0" applyFont="1" applyFill="1" applyBorder="1" applyAlignment="1" applyProtection="1">
      <alignment horizontal="center" vertical="center"/>
      <protection hidden="1"/>
    </xf>
    <xf numFmtId="0" fontId="27" fillId="23" borderId="12" xfId="0" applyFont="1" applyFill="1" applyBorder="1" applyAlignment="1" applyProtection="1">
      <alignment horizontal="center" vertical="center"/>
      <protection hidden="1"/>
    </xf>
    <xf numFmtId="0" fontId="27" fillId="23" borderId="13" xfId="0" applyFont="1" applyFill="1" applyBorder="1" applyAlignment="1" applyProtection="1">
      <alignment horizontal="center" vertical="center"/>
      <protection hidden="1"/>
    </xf>
    <xf numFmtId="171" fontId="35" fillId="0" borderId="15" xfId="7" applyNumberFormat="1" applyFont="1" applyBorder="1" applyAlignment="1" applyProtection="1">
      <alignment horizontal="right" vertical="center"/>
      <protection hidden="1"/>
    </xf>
    <xf numFmtId="171" fontId="35" fillId="0" borderId="16" xfId="7" applyNumberFormat="1" applyFont="1" applyBorder="1" applyAlignment="1" applyProtection="1">
      <alignment horizontal="right" vertical="center"/>
      <protection hidden="1"/>
    </xf>
    <xf numFmtId="171" fontId="35" fillId="0" borderId="18" xfId="7" applyNumberFormat="1" applyFont="1" applyBorder="1" applyAlignment="1" applyProtection="1">
      <alignment horizontal="right" vertical="center"/>
      <protection hidden="1"/>
    </xf>
    <xf numFmtId="171" fontId="35" fillId="0" borderId="19" xfId="7" applyNumberFormat="1" applyFont="1" applyBorder="1" applyAlignment="1" applyProtection="1">
      <alignment horizontal="right" vertical="center"/>
      <protection hidden="1"/>
    </xf>
    <xf numFmtId="0" fontId="22" fillId="27" borderId="11" xfId="0" applyFont="1" applyFill="1" applyBorder="1" applyAlignment="1" applyProtection="1">
      <alignment horizontal="right" vertical="center"/>
      <protection hidden="1"/>
    </xf>
    <xf numFmtId="0" fontId="22" fillId="27" borderId="13" xfId="0" applyFont="1" applyFill="1" applyBorder="1" applyAlignment="1" applyProtection="1">
      <alignment horizontal="right" vertical="center"/>
      <protection hidden="1"/>
    </xf>
    <xf numFmtId="1" fontId="22" fillId="13" borderId="11" xfId="1" applyNumberFormat="1" applyFont="1" applyFill="1" applyBorder="1" applyAlignment="1" applyProtection="1">
      <alignment horizontal="right" vertical="center"/>
      <protection hidden="1"/>
    </xf>
    <xf numFmtId="1" fontId="22" fillId="13" borderId="12" xfId="1" applyNumberFormat="1" applyFont="1" applyFill="1" applyBorder="1" applyAlignment="1" applyProtection="1">
      <alignment horizontal="right" vertical="center"/>
      <protection hidden="1"/>
    </xf>
    <xf numFmtId="1" fontId="22" fillId="24" borderId="11" xfId="1" applyNumberFormat="1" applyFont="1" applyFill="1" applyBorder="1" applyAlignment="1" applyProtection="1">
      <alignment horizontal="right" vertical="center"/>
      <protection hidden="1"/>
    </xf>
    <xf numFmtId="1" fontId="22" fillId="25" borderId="12" xfId="1" applyNumberFormat="1" applyFont="1" applyFill="1" applyBorder="1" applyAlignment="1" applyProtection="1">
      <alignment horizontal="right" vertical="center"/>
      <protection hidden="1"/>
    </xf>
    <xf numFmtId="1" fontId="22" fillId="25" borderId="11" xfId="1" applyNumberFormat="1" applyFont="1" applyFill="1" applyBorder="1" applyAlignment="1" applyProtection="1">
      <alignment horizontal="right" vertical="center"/>
      <protection hidden="1"/>
    </xf>
    <xf numFmtId="1" fontId="22" fillId="24" borderId="12" xfId="1" applyNumberFormat="1" applyFont="1" applyFill="1" applyBorder="1" applyAlignment="1" applyProtection="1">
      <alignment horizontal="right" vertical="center"/>
      <protection hidden="1"/>
    </xf>
    <xf numFmtId="0" fontId="33" fillId="8" borderId="14" xfId="0" applyFont="1" applyFill="1" applyBorder="1" applyAlignment="1" applyProtection="1">
      <alignment horizontal="center" vertical="center" wrapText="1"/>
      <protection hidden="1"/>
    </xf>
    <xf numFmtId="0" fontId="33" fillId="8" borderId="16" xfId="0" applyFont="1" applyFill="1" applyBorder="1" applyAlignment="1" applyProtection="1">
      <alignment horizontal="center" vertical="center" wrapText="1"/>
      <protection hidden="1"/>
    </xf>
    <xf numFmtId="0" fontId="33" fillId="8" borderId="17" xfId="0" applyFont="1" applyFill="1" applyBorder="1" applyAlignment="1" applyProtection="1">
      <alignment horizontal="center" vertical="center" wrapText="1"/>
      <protection hidden="1"/>
    </xf>
    <xf numFmtId="0" fontId="33" fillId="8" borderId="19" xfId="0" applyFont="1" applyFill="1" applyBorder="1" applyAlignment="1" applyProtection="1">
      <alignment horizontal="center" vertical="center" wrapText="1"/>
      <protection hidden="1"/>
    </xf>
    <xf numFmtId="0" fontId="30" fillId="41" borderId="14" xfId="0" applyFont="1" applyFill="1" applyBorder="1" applyAlignment="1" applyProtection="1">
      <alignment horizontal="center" vertical="center" wrapText="1"/>
      <protection hidden="1"/>
    </xf>
    <xf numFmtId="0" fontId="30" fillId="41" borderId="15" xfId="0" applyFont="1" applyFill="1" applyBorder="1" applyAlignment="1" applyProtection="1">
      <alignment horizontal="center" vertical="center" wrapText="1"/>
      <protection hidden="1"/>
    </xf>
    <xf numFmtId="0" fontId="30" fillId="41" borderId="16" xfId="0" applyFont="1" applyFill="1" applyBorder="1" applyAlignment="1" applyProtection="1">
      <alignment horizontal="center" vertical="center" wrapText="1"/>
      <protection hidden="1"/>
    </xf>
    <xf numFmtId="0" fontId="30" fillId="41" borderId="17" xfId="0" applyFont="1" applyFill="1" applyBorder="1" applyAlignment="1" applyProtection="1">
      <alignment horizontal="center" vertical="center" wrapText="1"/>
      <protection hidden="1"/>
    </xf>
    <xf numFmtId="0" fontId="30" fillId="41" borderId="18" xfId="0" applyFont="1" applyFill="1" applyBorder="1" applyAlignment="1" applyProtection="1">
      <alignment horizontal="center" vertical="center" wrapText="1"/>
      <protection hidden="1"/>
    </xf>
    <xf numFmtId="0" fontId="30" fillId="41" borderId="19" xfId="0" applyFont="1" applyFill="1" applyBorder="1" applyAlignment="1" applyProtection="1">
      <alignment horizontal="center" vertical="center" wrapText="1"/>
      <protection hidden="1"/>
    </xf>
    <xf numFmtId="0" fontId="30" fillId="40" borderId="14" xfId="0" applyFont="1" applyFill="1" applyBorder="1" applyAlignment="1" applyProtection="1">
      <alignment horizontal="center" vertical="center" wrapText="1"/>
      <protection hidden="1"/>
    </xf>
    <xf numFmtId="0" fontId="30" fillId="40" borderId="15" xfId="0" applyFont="1" applyFill="1" applyBorder="1" applyAlignment="1" applyProtection="1">
      <alignment horizontal="center" vertical="center" wrapText="1"/>
      <protection hidden="1"/>
    </xf>
    <xf numFmtId="0" fontId="30" fillId="40" borderId="16" xfId="0" applyFont="1" applyFill="1" applyBorder="1" applyAlignment="1" applyProtection="1">
      <alignment horizontal="center" vertical="center" wrapText="1"/>
      <protection hidden="1"/>
    </xf>
    <xf numFmtId="0" fontId="30" fillId="40" borderId="17" xfId="0" applyFont="1" applyFill="1" applyBorder="1" applyAlignment="1" applyProtection="1">
      <alignment horizontal="center" vertical="center" wrapText="1"/>
      <protection hidden="1"/>
    </xf>
    <xf numFmtId="0" fontId="30" fillId="40" borderId="18" xfId="0" applyFont="1" applyFill="1" applyBorder="1" applyAlignment="1" applyProtection="1">
      <alignment horizontal="center" vertical="center" wrapText="1"/>
      <protection hidden="1"/>
    </xf>
    <xf numFmtId="0" fontId="30" fillId="40" borderId="19" xfId="0" applyFont="1" applyFill="1" applyBorder="1" applyAlignment="1" applyProtection="1">
      <alignment horizontal="center" vertical="center" wrapText="1"/>
      <protection hidden="1"/>
    </xf>
    <xf numFmtId="0" fontId="22" fillId="8" borderId="23" xfId="0" applyFont="1" applyFill="1" applyBorder="1" applyAlignment="1" applyProtection="1">
      <alignment horizontal="center" vertical="center" wrapText="1"/>
      <protection hidden="1"/>
    </xf>
    <xf numFmtId="0" fontId="22" fillId="8" borderId="24" xfId="0" applyFont="1" applyFill="1" applyBorder="1" applyAlignment="1" applyProtection="1">
      <alignment horizontal="center" vertical="center" wrapText="1"/>
      <protection hidden="1"/>
    </xf>
    <xf numFmtId="0" fontId="22" fillId="8" borderId="22" xfId="0" applyFont="1" applyFill="1" applyBorder="1" applyAlignment="1" applyProtection="1">
      <alignment horizontal="center" vertical="center" wrapText="1"/>
      <protection hidden="1"/>
    </xf>
    <xf numFmtId="0" fontId="22" fillId="8" borderId="14" xfId="0" applyFont="1" applyFill="1" applyBorder="1" applyAlignment="1" applyProtection="1">
      <alignment horizontal="center" vertical="center"/>
      <protection hidden="1"/>
    </xf>
    <xf numFmtId="0" fontId="22" fillId="8" borderId="16" xfId="0" applyFont="1" applyFill="1" applyBorder="1" applyAlignment="1" applyProtection="1">
      <alignment horizontal="center" vertical="center"/>
      <protection hidden="1"/>
    </xf>
    <xf numFmtId="0" fontId="22" fillId="8" borderId="17" xfId="0" applyFont="1" applyFill="1" applyBorder="1" applyAlignment="1" applyProtection="1">
      <alignment horizontal="center" vertical="center"/>
      <protection hidden="1"/>
    </xf>
    <xf numFmtId="0" fontId="22" fillId="8" borderId="19" xfId="0" applyFont="1" applyFill="1" applyBorder="1" applyAlignment="1" applyProtection="1">
      <alignment horizontal="center" vertical="center"/>
      <protection hidden="1"/>
    </xf>
    <xf numFmtId="0" fontId="27" fillId="10" borderId="14" xfId="0" applyFont="1" applyFill="1" applyBorder="1" applyAlignment="1" applyProtection="1">
      <alignment horizontal="center" vertical="center"/>
      <protection hidden="1"/>
    </xf>
    <xf numFmtId="0" fontId="27" fillId="10" borderId="15" xfId="0" applyFont="1" applyFill="1" applyBorder="1" applyAlignment="1" applyProtection="1">
      <alignment horizontal="center" vertical="center"/>
      <protection hidden="1"/>
    </xf>
    <xf numFmtId="0" fontId="27" fillId="10" borderId="16" xfId="0" applyFont="1" applyFill="1" applyBorder="1" applyAlignment="1" applyProtection="1">
      <alignment horizontal="center" vertical="center"/>
      <protection hidden="1"/>
    </xf>
    <xf numFmtId="0" fontId="27" fillId="10" borderId="20" xfId="0" applyFont="1" applyFill="1" applyBorder="1" applyAlignment="1" applyProtection="1">
      <alignment horizontal="center" vertical="center"/>
      <protection hidden="1"/>
    </xf>
    <xf numFmtId="0" fontId="27" fillId="10" borderId="0" xfId="0" applyFont="1" applyFill="1" applyAlignment="1" applyProtection="1">
      <alignment horizontal="center" vertical="center"/>
      <protection hidden="1"/>
    </xf>
    <xf numFmtId="0" fontId="27" fillId="10" borderId="21" xfId="0" applyFont="1" applyFill="1" applyBorder="1" applyAlignment="1" applyProtection="1">
      <alignment horizontal="center" vertical="center"/>
      <protection hidden="1"/>
    </xf>
    <xf numFmtId="0" fontId="27" fillId="10" borderId="17" xfId="0" applyFont="1" applyFill="1" applyBorder="1" applyAlignment="1" applyProtection="1">
      <alignment horizontal="center" vertical="center"/>
      <protection hidden="1"/>
    </xf>
    <xf numFmtId="0" fontId="27" fillId="10" borderId="18" xfId="0" applyFont="1" applyFill="1" applyBorder="1" applyAlignment="1" applyProtection="1">
      <alignment horizontal="center" vertical="center"/>
      <protection hidden="1"/>
    </xf>
    <xf numFmtId="0" fontId="27" fillId="10" borderId="19" xfId="0" applyFont="1" applyFill="1" applyBorder="1" applyAlignment="1" applyProtection="1">
      <alignment horizontal="center" vertical="center"/>
      <protection hidden="1"/>
    </xf>
    <xf numFmtId="0" fontId="27" fillId="2" borderId="10" xfId="0" applyFont="1" applyFill="1" applyBorder="1" applyAlignment="1" applyProtection="1">
      <alignment horizontal="right" vertical="center"/>
      <protection hidden="1"/>
    </xf>
    <xf numFmtId="0" fontId="24" fillId="2" borderId="10" xfId="0" quotePrefix="1" applyFont="1" applyFill="1" applyBorder="1" applyAlignment="1" applyProtection="1">
      <alignment horizontal="center" vertical="center" textRotation="90" wrapText="1"/>
      <protection hidden="1"/>
    </xf>
    <xf numFmtId="0" fontId="22" fillId="33" borderId="10" xfId="0" applyFont="1" applyFill="1" applyBorder="1" applyAlignment="1" applyProtection="1">
      <alignment horizontal="center" vertical="center" wrapText="1"/>
      <protection hidden="1"/>
    </xf>
    <xf numFmtId="0" fontId="22" fillId="33" borderId="11" xfId="0" applyFont="1" applyFill="1" applyBorder="1" applyAlignment="1" applyProtection="1">
      <alignment horizontal="center" vertical="center" wrapText="1"/>
      <protection hidden="1"/>
    </xf>
    <xf numFmtId="0" fontId="24" fillId="3" borderId="11" xfId="0" applyFont="1" applyFill="1" applyBorder="1" applyAlignment="1" applyProtection="1">
      <alignment horizontal="center" vertical="center"/>
      <protection hidden="1"/>
    </xf>
    <xf numFmtId="0" fontId="24" fillId="3" borderId="12" xfId="0" applyFont="1" applyFill="1" applyBorder="1" applyAlignment="1" applyProtection="1">
      <alignment horizontal="center" vertical="center"/>
      <protection hidden="1"/>
    </xf>
    <xf numFmtId="0" fontId="24" fillId="3" borderId="13" xfId="0" applyFont="1" applyFill="1" applyBorder="1" applyAlignment="1" applyProtection="1">
      <alignment horizontal="center" vertical="center"/>
      <protection hidden="1"/>
    </xf>
    <xf numFmtId="0" fontId="24" fillId="4" borderId="11" xfId="0" applyFont="1" applyFill="1" applyBorder="1" applyAlignment="1" applyProtection="1">
      <alignment horizontal="center" vertical="center"/>
      <protection hidden="1"/>
    </xf>
    <xf numFmtId="0" fontId="24" fillId="4" borderId="12" xfId="0" applyFont="1" applyFill="1" applyBorder="1" applyAlignment="1" applyProtection="1">
      <alignment horizontal="center" vertical="center"/>
      <protection hidden="1"/>
    </xf>
    <xf numFmtId="0" fontId="24" fillId="4" borderId="13" xfId="0" applyFont="1" applyFill="1" applyBorder="1" applyAlignment="1" applyProtection="1">
      <alignment horizontal="center" vertical="center"/>
      <protection hidden="1"/>
    </xf>
    <xf numFmtId="0" fontId="22" fillId="13" borderId="11" xfId="0" applyFont="1" applyFill="1" applyBorder="1" applyAlignment="1" applyProtection="1">
      <alignment horizontal="center" vertical="center" wrapText="1"/>
      <protection hidden="1"/>
    </xf>
    <xf numFmtId="0" fontId="22" fillId="13" borderId="12" xfId="0" applyFont="1" applyFill="1" applyBorder="1" applyAlignment="1" applyProtection="1">
      <alignment horizontal="center" vertical="center" wrapText="1"/>
      <protection hidden="1"/>
    </xf>
    <xf numFmtId="0" fontId="22" fillId="13" borderId="13" xfId="0" applyFont="1" applyFill="1" applyBorder="1" applyAlignment="1" applyProtection="1">
      <alignment horizontal="center" vertical="center" wrapText="1"/>
      <protection hidden="1"/>
    </xf>
    <xf numFmtId="0" fontId="22" fillId="5" borderId="11" xfId="0" applyFont="1" applyFill="1" applyBorder="1" applyAlignment="1" applyProtection="1">
      <alignment horizontal="center" vertical="center" wrapText="1"/>
      <protection hidden="1"/>
    </xf>
    <xf numFmtId="0" fontId="22" fillId="5" borderId="12" xfId="0" applyFont="1" applyFill="1" applyBorder="1" applyAlignment="1" applyProtection="1">
      <alignment horizontal="center" vertical="center" wrapText="1"/>
      <protection hidden="1"/>
    </xf>
    <xf numFmtId="0" fontId="22" fillId="5" borderId="13" xfId="0" applyFont="1" applyFill="1" applyBorder="1" applyAlignment="1" applyProtection="1">
      <alignment horizontal="center" vertical="center" wrapText="1"/>
      <protection hidden="1"/>
    </xf>
    <xf numFmtId="0" fontId="45" fillId="10" borderId="17" xfId="0" applyFont="1" applyFill="1" applyBorder="1" applyAlignment="1" applyProtection="1">
      <alignment horizontal="center" vertical="center"/>
      <protection hidden="1"/>
    </xf>
    <xf numFmtId="0" fontId="45" fillId="10" borderId="18" xfId="0" applyFont="1" applyFill="1" applyBorder="1" applyAlignment="1" applyProtection="1">
      <alignment horizontal="center" vertical="center"/>
      <protection hidden="1"/>
    </xf>
    <xf numFmtId="0" fontId="45" fillId="10" borderId="19" xfId="0" applyFont="1" applyFill="1" applyBorder="1" applyAlignment="1" applyProtection="1">
      <alignment horizontal="center" vertical="center"/>
      <protection hidden="1"/>
    </xf>
    <xf numFmtId="0" fontId="45" fillId="10" borderId="14" xfId="0" applyFont="1" applyFill="1" applyBorder="1" applyAlignment="1" applyProtection="1">
      <alignment horizontal="center" vertical="center"/>
      <protection hidden="1"/>
    </xf>
    <xf numFmtId="0" fontId="45" fillId="10" borderId="15" xfId="0" applyFont="1" applyFill="1" applyBorder="1" applyAlignment="1" applyProtection="1">
      <alignment horizontal="center" vertical="center"/>
      <protection hidden="1"/>
    </xf>
    <xf numFmtId="0" fontId="45" fillId="10" borderId="16" xfId="0" applyFont="1" applyFill="1" applyBorder="1" applyAlignment="1" applyProtection="1">
      <alignment horizontal="center" vertical="center"/>
      <protection hidden="1"/>
    </xf>
    <xf numFmtId="0" fontId="30" fillId="24" borderId="14" xfId="0" applyFont="1" applyFill="1" applyBorder="1" applyAlignment="1" applyProtection="1">
      <alignment horizontal="center" vertical="center" wrapText="1"/>
      <protection hidden="1"/>
    </xf>
    <xf numFmtId="0" fontId="30" fillId="24" borderId="15" xfId="0" applyFont="1" applyFill="1" applyBorder="1" applyAlignment="1" applyProtection="1">
      <alignment horizontal="center" vertical="center" wrapText="1"/>
      <protection hidden="1"/>
    </xf>
    <xf numFmtId="0" fontId="30" fillId="24" borderId="16" xfId="0" applyFont="1" applyFill="1" applyBorder="1" applyAlignment="1" applyProtection="1">
      <alignment horizontal="center" vertical="center" wrapText="1"/>
      <protection hidden="1"/>
    </xf>
    <xf numFmtId="0" fontId="30" fillId="24" borderId="17" xfId="0" applyFont="1" applyFill="1" applyBorder="1" applyAlignment="1" applyProtection="1">
      <alignment horizontal="center" vertical="center" wrapText="1"/>
      <protection hidden="1"/>
    </xf>
    <xf numFmtId="0" fontId="30" fillId="24" borderId="18" xfId="0" applyFont="1" applyFill="1" applyBorder="1" applyAlignment="1" applyProtection="1">
      <alignment horizontal="center" vertical="center" wrapText="1"/>
      <protection hidden="1"/>
    </xf>
    <xf numFmtId="0" fontId="30" fillId="24" borderId="19" xfId="0" applyFont="1" applyFill="1" applyBorder="1" applyAlignment="1" applyProtection="1">
      <alignment horizontal="center" vertical="center" wrapText="1"/>
      <protection hidden="1"/>
    </xf>
    <xf numFmtId="0" fontId="45" fillId="11" borderId="14" xfId="0" applyFont="1" applyFill="1" applyBorder="1" applyAlignment="1" applyProtection="1">
      <alignment horizontal="center" vertical="center"/>
      <protection hidden="1"/>
    </xf>
    <xf numFmtId="0" fontId="45" fillId="11" borderId="15" xfId="0" applyFont="1" applyFill="1" applyBorder="1" applyAlignment="1" applyProtection="1">
      <alignment horizontal="center" vertical="center"/>
      <protection hidden="1"/>
    </xf>
    <xf numFmtId="0" fontId="45" fillId="11" borderId="16" xfId="0" applyFont="1" applyFill="1" applyBorder="1" applyAlignment="1" applyProtection="1">
      <alignment horizontal="center" vertical="center"/>
      <protection hidden="1"/>
    </xf>
    <xf numFmtId="0" fontId="45" fillId="11" borderId="17" xfId="0" applyFont="1" applyFill="1" applyBorder="1" applyAlignment="1" applyProtection="1">
      <alignment horizontal="center" vertical="center"/>
      <protection hidden="1"/>
    </xf>
    <xf numFmtId="0" fontId="45" fillId="11" borderId="18" xfId="0" applyFont="1" applyFill="1" applyBorder="1" applyAlignment="1" applyProtection="1">
      <alignment horizontal="center" vertical="center"/>
      <protection hidden="1"/>
    </xf>
    <xf numFmtId="0" fontId="45" fillId="11" borderId="19" xfId="0" applyFont="1" applyFill="1" applyBorder="1" applyAlignment="1" applyProtection="1">
      <alignment horizontal="center" vertical="center"/>
      <protection hidden="1"/>
    </xf>
    <xf numFmtId="0" fontId="30" fillId="25" borderId="14" xfId="0" applyFont="1" applyFill="1" applyBorder="1" applyAlignment="1" applyProtection="1">
      <alignment horizontal="center" vertical="center" wrapText="1"/>
      <protection hidden="1"/>
    </xf>
    <xf numFmtId="0" fontId="30" fillId="25" borderId="15" xfId="0" applyFont="1" applyFill="1" applyBorder="1" applyAlignment="1" applyProtection="1">
      <alignment horizontal="center" vertical="center" wrapText="1"/>
      <protection hidden="1"/>
    </xf>
    <xf numFmtId="0" fontId="30" fillId="25" borderId="16" xfId="0" applyFont="1" applyFill="1" applyBorder="1" applyAlignment="1" applyProtection="1">
      <alignment horizontal="center" vertical="center" wrapText="1"/>
      <protection hidden="1"/>
    </xf>
    <xf numFmtId="0" fontId="30" fillId="25" borderId="17" xfId="0" applyFont="1" applyFill="1" applyBorder="1" applyAlignment="1" applyProtection="1">
      <alignment horizontal="center" vertical="center" wrapText="1"/>
      <protection hidden="1"/>
    </xf>
    <xf numFmtId="0" fontId="30" fillId="25" borderId="18" xfId="0" applyFont="1" applyFill="1" applyBorder="1" applyAlignment="1" applyProtection="1">
      <alignment horizontal="center" vertical="center" wrapText="1"/>
      <protection hidden="1"/>
    </xf>
    <xf numFmtId="0" fontId="30" fillId="25" borderId="19" xfId="0" applyFont="1" applyFill="1" applyBorder="1" applyAlignment="1" applyProtection="1">
      <alignment horizontal="center" vertical="center" wrapText="1"/>
      <protection hidden="1"/>
    </xf>
    <xf numFmtId="0" fontId="45" fillId="32" borderId="14" xfId="0" applyFont="1" applyFill="1" applyBorder="1" applyAlignment="1" applyProtection="1">
      <alignment horizontal="center" vertical="center"/>
      <protection hidden="1"/>
    </xf>
    <xf numFmtId="0" fontId="45" fillId="32" borderId="15" xfId="0" applyFont="1" applyFill="1" applyBorder="1" applyAlignment="1" applyProtection="1">
      <alignment horizontal="center" vertical="center"/>
      <protection hidden="1"/>
    </xf>
    <xf numFmtId="0" fontId="45" fillId="32" borderId="16" xfId="0" applyFont="1" applyFill="1" applyBorder="1" applyAlignment="1" applyProtection="1">
      <alignment horizontal="center" vertical="center"/>
      <protection hidden="1"/>
    </xf>
    <xf numFmtId="0" fontId="45" fillId="32" borderId="17" xfId="0" applyFont="1" applyFill="1" applyBorder="1" applyAlignment="1" applyProtection="1">
      <alignment horizontal="center" vertical="center"/>
      <protection hidden="1"/>
    </xf>
    <xf numFmtId="0" fontId="45" fillId="32" borderId="18" xfId="0" applyFont="1" applyFill="1" applyBorder="1" applyAlignment="1" applyProtection="1">
      <alignment horizontal="center" vertical="center"/>
      <protection hidden="1"/>
    </xf>
    <xf numFmtId="0" fontId="45" fillId="32" borderId="19" xfId="0" applyFont="1" applyFill="1" applyBorder="1" applyAlignment="1" applyProtection="1">
      <alignment horizontal="center" vertical="center"/>
      <protection hidden="1"/>
    </xf>
    <xf numFmtId="0" fontId="22" fillId="27" borderId="11" xfId="0" applyFont="1" applyFill="1" applyBorder="1" applyAlignment="1">
      <alignment horizontal="right" vertical="center"/>
    </xf>
    <xf numFmtId="0" fontId="22" fillId="27" borderId="13" xfId="0" applyFont="1" applyFill="1" applyBorder="1" applyAlignment="1">
      <alignment horizontal="right" vertical="center"/>
    </xf>
    <xf numFmtId="0" fontId="24" fillId="45" borderId="11" xfId="0" applyFont="1" applyFill="1" applyBorder="1" applyAlignment="1">
      <alignment horizontal="center" vertical="center"/>
    </xf>
    <xf numFmtId="0" fontId="24" fillId="45" borderId="13" xfId="0" applyFont="1" applyFill="1" applyBorder="1" applyAlignment="1">
      <alignment horizontal="center" vertical="center"/>
    </xf>
    <xf numFmtId="0" fontId="22" fillId="18" borderId="11" xfId="0" applyFont="1" applyFill="1" applyBorder="1" applyAlignment="1">
      <alignment horizontal="center" vertical="center"/>
    </xf>
    <xf numFmtId="0" fontId="22" fillId="18" borderId="12" xfId="0" applyFont="1" applyFill="1" applyBorder="1" applyAlignment="1">
      <alignment horizontal="center" vertical="center"/>
    </xf>
    <xf numFmtId="0" fontId="22" fillId="18" borderId="13" xfId="0" applyFont="1" applyFill="1" applyBorder="1" applyAlignment="1">
      <alignment horizontal="center" vertical="center"/>
    </xf>
    <xf numFmtId="0" fontId="22" fillId="8" borderId="23" xfId="0" applyFont="1" applyFill="1" applyBorder="1" applyAlignment="1">
      <alignment horizontal="center" vertical="center" wrapText="1"/>
    </xf>
    <xf numFmtId="0" fontId="22" fillId="8" borderId="24" xfId="0" applyFont="1" applyFill="1" applyBorder="1" applyAlignment="1">
      <alignment horizontal="center" vertical="center" wrapText="1"/>
    </xf>
    <xf numFmtId="0" fontId="22" fillId="8" borderId="22" xfId="0" applyFont="1" applyFill="1" applyBorder="1" applyAlignment="1">
      <alignment horizontal="center" vertical="center" wrapText="1"/>
    </xf>
    <xf numFmtId="0" fontId="24" fillId="2" borderId="11" xfId="0" applyFont="1" applyFill="1" applyBorder="1" applyAlignment="1">
      <alignment horizontal="center" vertical="center"/>
    </xf>
    <xf numFmtId="0" fontId="24" fillId="2" borderId="13" xfId="0" applyFont="1" applyFill="1" applyBorder="1" applyAlignment="1">
      <alignment horizontal="center" vertical="center"/>
    </xf>
    <xf numFmtId="0" fontId="24" fillId="3" borderId="11" xfId="0" applyFont="1" applyFill="1" applyBorder="1" applyAlignment="1">
      <alignment horizontal="center" vertical="center"/>
    </xf>
    <xf numFmtId="0" fontId="24" fillId="3" borderId="12" xfId="0" applyFont="1" applyFill="1" applyBorder="1" applyAlignment="1">
      <alignment horizontal="center" vertical="center"/>
    </xf>
    <xf numFmtId="0" fontId="24" fillId="3" borderId="13" xfId="0" applyFont="1" applyFill="1" applyBorder="1" applyAlignment="1">
      <alignment horizontal="center" vertical="center"/>
    </xf>
    <xf numFmtId="0" fontId="24" fillId="4" borderId="11" xfId="0" applyFont="1" applyFill="1" applyBorder="1" applyAlignment="1">
      <alignment horizontal="center" vertical="center"/>
    </xf>
    <xf numFmtId="0" fontId="24" fillId="4" borderId="12" xfId="0" applyFont="1" applyFill="1" applyBorder="1" applyAlignment="1">
      <alignment horizontal="center" vertical="center"/>
    </xf>
    <xf numFmtId="0" fontId="24" fillId="4" borderId="13" xfId="0" applyFont="1" applyFill="1" applyBorder="1" applyAlignment="1">
      <alignment horizontal="center" vertical="center"/>
    </xf>
    <xf numFmtId="0" fontId="22" fillId="13" borderId="11" xfId="0" applyFont="1" applyFill="1" applyBorder="1" applyAlignment="1">
      <alignment horizontal="center" vertical="center" wrapText="1"/>
    </xf>
    <xf numFmtId="0" fontId="22" fillId="13" borderId="12" xfId="0" applyFont="1" applyFill="1" applyBorder="1" applyAlignment="1">
      <alignment horizontal="center" vertical="center" wrapText="1"/>
    </xf>
    <xf numFmtId="0" fontId="22" fillId="13" borderId="13" xfId="0" applyFont="1" applyFill="1" applyBorder="1" applyAlignment="1">
      <alignment horizontal="center" vertical="center" wrapText="1"/>
    </xf>
    <xf numFmtId="0" fontId="22" fillId="5" borderId="11" xfId="0" applyFont="1" applyFill="1" applyBorder="1" applyAlignment="1">
      <alignment horizontal="center" vertical="center" wrapText="1"/>
    </xf>
    <xf numFmtId="0" fontId="22" fillId="5" borderId="12" xfId="0" applyFont="1" applyFill="1" applyBorder="1" applyAlignment="1">
      <alignment horizontal="center" vertical="center" wrapText="1"/>
    </xf>
    <xf numFmtId="0" fontId="22" fillId="5" borderId="13" xfId="0" applyFont="1" applyFill="1" applyBorder="1" applyAlignment="1">
      <alignment horizontal="center" vertical="center" wrapText="1"/>
    </xf>
    <xf numFmtId="0" fontId="25" fillId="26" borderId="11" xfId="0" applyFont="1" applyFill="1" applyBorder="1" applyAlignment="1">
      <alignment horizontal="center" vertical="center"/>
    </xf>
    <xf numFmtId="0" fontId="25" fillId="26" borderId="13" xfId="0" applyFont="1" applyFill="1" applyBorder="1" applyAlignment="1">
      <alignment horizontal="center" vertical="center"/>
    </xf>
    <xf numFmtId="0" fontId="27" fillId="2" borderId="10" xfId="0" applyFont="1" applyFill="1" applyBorder="1" applyAlignment="1">
      <alignment horizontal="right" vertical="center"/>
    </xf>
    <xf numFmtId="0" fontId="24" fillId="2" borderId="10" xfId="0" quotePrefix="1" applyFont="1" applyFill="1" applyBorder="1" applyAlignment="1">
      <alignment horizontal="center" vertical="center" textRotation="90" wrapText="1"/>
    </xf>
    <xf numFmtId="0" fontId="32" fillId="23" borderId="14" xfId="0" applyFont="1" applyFill="1" applyBorder="1" applyAlignment="1">
      <alignment horizontal="center" vertical="center" wrapText="1"/>
    </xf>
    <xf numFmtId="0" fontId="32" fillId="23" borderId="15" xfId="0" applyFont="1" applyFill="1" applyBorder="1" applyAlignment="1">
      <alignment horizontal="center" vertical="center" wrapText="1"/>
    </xf>
    <xf numFmtId="0" fontId="32" fillId="23" borderId="16" xfId="0" applyFont="1" applyFill="1" applyBorder="1" applyAlignment="1">
      <alignment horizontal="center" vertical="center" wrapText="1"/>
    </xf>
    <xf numFmtId="0" fontId="32" fillId="23" borderId="17" xfId="0" applyFont="1" applyFill="1" applyBorder="1" applyAlignment="1">
      <alignment horizontal="center" vertical="center" wrapText="1"/>
    </xf>
    <xf numFmtId="0" fontId="32" fillId="23" borderId="18" xfId="0" applyFont="1" applyFill="1" applyBorder="1" applyAlignment="1">
      <alignment horizontal="center" vertical="center" wrapText="1"/>
    </xf>
    <xf numFmtId="0" fontId="32" fillId="23" borderId="19" xfId="0" applyFont="1" applyFill="1" applyBorder="1" applyAlignment="1">
      <alignment horizontal="center" vertical="center" wrapText="1"/>
    </xf>
    <xf numFmtId="0" fontId="22" fillId="8" borderId="14" xfId="0" applyFont="1" applyFill="1" applyBorder="1" applyAlignment="1">
      <alignment horizontal="center" vertical="center"/>
    </xf>
    <xf numFmtId="0" fontId="22" fillId="8" borderId="16" xfId="0" applyFont="1" applyFill="1" applyBorder="1" applyAlignment="1">
      <alignment horizontal="center" vertical="center"/>
    </xf>
    <xf numFmtId="0" fontId="22" fillId="8" borderId="17" xfId="0" applyFont="1" applyFill="1" applyBorder="1" applyAlignment="1">
      <alignment horizontal="center" vertical="center"/>
    </xf>
    <xf numFmtId="0" fontId="22" fillId="8" borderId="19" xfId="0" applyFont="1" applyFill="1" applyBorder="1" applyAlignment="1">
      <alignment horizontal="center" vertical="center"/>
    </xf>
    <xf numFmtId="0" fontId="27" fillId="10" borderId="14" xfId="0" applyFont="1" applyFill="1" applyBorder="1" applyAlignment="1">
      <alignment horizontal="center" vertical="center"/>
    </xf>
    <xf numFmtId="0" fontId="27" fillId="10" borderId="15" xfId="0" applyFont="1" applyFill="1" applyBorder="1" applyAlignment="1">
      <alignment horizontal="center" vertical="center"/>
    </xf>
    <xf numFmtId="0" fontId="27" fillId="10" borderId="16" xfId="0" applyFont="1" applyFill="1" applyBorder="1" applyAlignment="1">
      <alignment horizontal="center" vertical="center"/>
    </xf>
    <xf numFmtId="0" fontId="27" fillId="10" borderId="20" xfId="0" applyFont="1" applyFill="1" applyBorder="1" applyAlignment="1">
      <alignment horizontal="center" vertical="center"/>
    </xf>
    <xf numFmtId="0" fontId="27" fillId="10" borderId="0" xfId="0" applyFont="1" applyFill="1" applyAlignment="1">
      <alignment horizontal="center" vertical="center"/>
    </xf>
    <xf numFmtId="0" fontId="27" fillId="10" borderId="21" xfId="0" applyFont="1" applyFill="1" applyBorder="1" applyAlignment="1">
      <alignment horizontal="center" vertical="center"/>
    </xf>
    <xf numFmtId="0" fontId="27" fillId="10" borderId="17" xfId="0" applyFont="1" applyFill="1" applyBorder="1" applyAlignment="1">
      <alignment horizontal="center" vertical="center"/>
    </xf>
    <xf numFmtId="0" fontId="27" fillId="10" borderId="18" xfId="0" applyFont="1" applyFill="1" applyBorder="1" applyAlignment="1">
      <alignment horizontal="center" vertical="center"/>
    </xf>
    <xf numFmtId="0" fontId="27" fillId="10" borderId="19" xfId="0" applyFont="1" applyFill="1" applyBorder="1" applyAlignment="1">
      <alignment horizontal="center" vertical="center"/>
    </xf>
    <xf numFmtId="0" fontId="24" fillId="0" borderId="11" xfId="0" applyFont="1" applyBorder="1" applyAlignment="1">
      <alignment horizontal="center" vertical="center" wrapText="1"/>
    </xf>
    <xf numFmtId="0" fontId="24" fillId="0" borderId="13" xfId="0" applyFont="1" applyBorder="1" applyAlignment="1">
      <alignment horizontal="center" vertical="center" wrapText="1"/>
    </xf>
    <xf numFmtId="0" fontId="31" fillId="12" borderId="14" xfId="0" applyFont="1" applyFill="1" applyBorder="1" applyAlignment="1">
      <alignment horizontal="center" vertical="center"/>
    </xf>
    <xf numFmtId="0" fontId="31" fillId="12" borderId="15" xfId="0" applyFont="1" applyFill="1" applyBorder="1" applyAlignment="1">
      <alignment horizontal="center" vertical="center"/>
    </xf>
    <xf numFmtId="0" fontId="31" fillId="12" borderId="16" xfId="0" applyFont="1" applyFill="1" applyBorder="1" applyAlignment="1">
      <alignment horizontal="center" vertical="center"/>
    </xf>
    <xf numFmtId="0" fontId="31" fillId="12" borderId="17" xfId="0" applyFont="1" applyFill="1" applyBorder="1" applyAlignment="1">
      <alignment horizontal="center" vertical="center"/>
    </xf>
    <xf numFmtId="0" fontId="31" fillId="12" borderId="18" xfId="0" applyFont="1" applyFill="1" applyBorder="1" applyAlignment="1">
      <alignment horizontal="center" vertical="center"/>
    </xf>
    <xf numFmtId="0" fontId="31" fillId="12" borderId="19" xfId="0" applyFont="1" applyFill="1" applyBorder="1" applyAlignment="1">
      <alignment horizontal="center" vertical="center"/>
    </xf>
    <xf numFmtId="0" fontId="31" fillId="15" borderId="14" xfId="0" applyFont="1" applyFill="1" applyBorder="1" applyAlignment="1" applyProtection="1">
      <alignment horizontal="center" vertical="center"/>
      <protection hidden="1"/>
    </xf>
    <xf numFmtId="0" fontId="31" fillId="15" borderId="15" xfId="0" applyFont="1" applyFill="1" applyBorder="1" applyAlignment="1" applyProtection="1">
      <alignment horizontal="center" vertical="center"/>
      <protection hidden="1"/>
    </xf>
    <xf numFmtId="0" fontId="31" fillId="15" borderId="16" xfId="0" applyFont="1" applyFill="1" applyBorder="1" applyAlignment="1" applyProtection="1">
      <alignment horizontal="center" vertical="center"/>
      <protection hidden="1"/>
    </xf>
    <xf numFmtId="0" fontId="31" fillId="15" borderId="20" xfId="0" applyFont="1" applyFill="1" applyBorder="1" applyAlignment="1" applyProtection="1">
      <alignment horizontal="center" vertical="center"/>
      <protection hidden="1"/>
    </xf>
    <xf numFmtId="0" fontId="31" fillId="15" borderId="0" xfId="0" applyFont="1" applyFill="1" applyAlignment="1" applyProtection="1">
      <alignment horizontal="center" vertical="center"/>
      <protection hidden="1"/>
    </xf>
    <xf numFmtId="0" fontId="31" fillId="15" borderId="21" xfId="0" applyFont="1" applyFill="1" applyBorder="1" applyAlignment="1" applyProtection="1">
      <alignment horizontal="center" vertical="center"/>
      <protection hidden="1"/>
    </xf>
    <xf numFmtId="0" fontId="33" fillId="24" borderId="14" xfId="0" applyFont="1" applyFill="1" applyBorder="1" applyAlignment="1" applyProtection="1">
      <alignment horizontal="center" vertical="center" wrapText="1"/>
      <protection hidden="1"/>
    </xf>
    <xf numFmtId="0" fontId="33" fillId="24" borderId="16" xfId="0" applyFont="1" applyFill="1" applyBorder="1" applyAlignment="1" applyProtection="1">
      <alignment horizontal="center" vertical="center" wrapText="1"/>
      <protection hidden="1"/>
    </xf>
    <xf numFmtId="0" fontId="33" fillId="24" borderId="20" xfId="0" applyFont="1" applyFill="1" applyBorder="1" applyAlignment="1" applyProtection="1">
      <alignment horizontal="center" vertical="center" wrapText="1"/>
      <protection hidden="1"/>
    </xf>
    <xf numFmtId="0" fontId="33" fillId="24" borderId="21" xfId="0" applyFont="1" applyFill="1" applyBorder="1" applyAlignment="1" applyProtection="1">
      <alignment horizontal="center" vertical="center" wrapText="1"/>
      <protection hidden="1"/>
    </xf>
    <xf numFmtId="0" fontId="30" fillId="42" borderId="14" xfId="0" applyFont="1" applyFill="1" applyBorder="1" applyAlignment="1" applyProtection="1">
      <alignment horizontal="center" vertical="center" wrapText="1"/>
      <protection hidden="1"/>
    </xf>
    <xf numFmtId="0" fontId="30" fillId="42" borderId="15" xfId="0" applyFont="1" applyFill="1" applyBorder="1" applyAlignment="1" applyProtection="1">
      <alignment horizontal="center" vertical="center" wrapText="1"/>
      <protection hidden="1"/>
    </xf>
    <xf numFmtId="0" fontId="30" fillId="42" borderId="16" xfId="0" applyFont="1" applyFill="1" applyBorder="1" applyAlignment="1" applyProtection="1">
      <alignment horizontal="center" vertical="center" wrapText="1"/>
      <protection hidden="1"/>
    </xf>
    <xf numFmtId="0" fontId="30" fillId="42" borderId="20" xfId="0" applyFont="1" applyFill="1" applyBorder="1" applyAlignment="1" applyProtection="1">
      <alignment horizontal="center" vertical="center" wrapText="1"/>
      <protection hidden="1"/>
    </xf>
    <xf numFmtId="0" fontId="30" fillId="42" borderId="0" xfId="0" applyFont="1" applyFill="1" applyAlignment="1" applyProtection="1">
      <alignment horizontal="center" vertical="center" wrapText="1"/>
      <protection hidden="1"/>
    </xf>
    <xf numFmtId="0" fontId="30" fillId="42" borderId="21" xfId="0" applyFont="1" applyFill="1" applyBorder="1" applyAlignment="1" applyProtection="1">
      <alignment horizontal="center" vertical="center" wrapText="1"/>
      <protection hidden="1"/>
    </xf>
    <xf numFmtId="0" fontId="27" fillId="0" borderId="11" xfId="0" applyFont="1" applyBorder="1" applyAlignment="1" applyProtection="1">
      <alignment horizontal="center" vertical="center" wrapText="1"/>
      <protection hidden="1"/>
    </xf>
    <xf numFmtId="0" fontId="27" fillId="0" borderId="13" xfId="0" applyFont="1" applyBorder="1" applyAlignment="1" applyProtection="1">
      <alignment horizontal="center" vertical="center" wrapText="1"/>
      <protection hidden="1"/>
    </xf>
    <xf numFmtId="0" fontId="27" fillId="11" borderId="20" xfId="0" applyFont="1" applyFill="1" applyBorder="1" applyAlignment="1" applyProtection="1">
      <alignment horizontal="left" vertical="center" wrapText="1"/>
      <protection hidden="1"/>
    </xf>
    <xf numFmtId="0" fontId="27" fillId="11" borderId="0" xfId="0" applyFont="1" applyFill="1" applyAlignment="1" applyProtection="1">
      <alignment horizontal="left" vertical="center" wrapText="1"/>
      <protection hidden="1"/>
    </xf>
    <xf numFmtId="0" fontId="27" fillId="11" borderId="17" xfId="0" applyFont="1" applyFill="1" applyBorder="1" applyAlignment="1" applyProtection="1">
      <alignment horizontal="left" vertical="center" wrapText="1"/>
      <protection hidden="1"/>
    </xf>
    <xf numFmtId="0" fontId="27" fillId="11" borderId="18" xfId="0" applyFont="1" applyFill="1" applyBorder="1" applyAlignment="1" applyProtection="1">
      <alignment horizontal="left" vertical="center" wrapText="1"/>
      <protection hidden="1"/>
    </xf>
    <xf numFmtId="0" fontId="22" fillId="0" borderId="11" xfId="0" applyFont="1" applyBorder="1" applyAlignment="1" applyProtection="1">
      <alignment horizontal="center" vertical="center" wrapText="1"/>
      <protection hidden="1"/>
    </xf>
    <xf numFmtId="0" fontId="22" fillId="0" borderId="13" xfId="0" applyFont="1" applyBorder="1" applyAlignment="1" applyProtection="1">
      <alignment horizontal="center" vertical="center" wrapText="1"/>
      <protection hidden="1"/>
    </xf>
    <xf numFmtId="0" fontId="27" fillId="0" borderId="12" xfId="0" applyFont="1" applyBorder="1" applyAlignment="1" applyProtection="1">
      <alignment horizontal="center" vertical="center" wrapText="1"/>
      <protection hidden="1"/>
    </xf>
    <xf numFmtId="0" fontId="27" fillId="17" borderId="14" xfId="0" applyFont="1" applyFill="1" applyBorder="1" applyAlignment="1" applyProtection="1">
      <alignment horizontal="left" vertical="center" wrapText="1"/>
      <protection hidden="1"/>
    </xf>
    <xf numFmtId="0" fontId="27" fillId="17" borderId="15" xfId="0" applyFont="1" applyFill="1" applyBorder="1" applyAlignment="1" applyProtection="1">
      <alignment horizontal="left" vertical="center" wrapText="1"/>
      <protection hidden="1"/>
    </xf>
    <xf numFmtId="0" fontId="27" fillId="17" borderId="17" xfId="0" applyFont="1" applyFill="1" applyBorder="1" applyAlignment="1" applyProtection="1">
      <alignment horizontal="left" vertical="center" wrapText="1"/>
      <protection hidden="1"/>
    </xf>
    <xf numFmtId="0" fontId="27" fillId="17" borderId="18" xfId="0" applyFont="1" applyFill="1" applyBorder="1" applyAlignment="1" applyProtection="1">
      <alignment horizontal="left" vertical="center" wrapText="1"/>
      <protection hidden="1"/>
    </xf>
    <xf numFmtId="0" fontId="22" fillId="31" borderId="11" xfId="0" applyFont="1" applyFill="1" applyBorder="1" applyAlignment="1" applyProtection="1">
      <alignment horizontal="center" vertical="center" wrapText="1"/>
      <protection hidden="1"/>
    </xf>
    <xf numFmtId="0" fontId="22" fillId="31" borderId="13" xfId="0" applyFont="1" applyFill="1" applyBorder="1" applyAlignment="1" applyProtection="1">
      <alignment horizontal="center" vertical="center" wrapText="1"/>
      <protection hidden="1"/>
    </xf>
    <xf numFmtId="0" fontId="24" fillId="0" borderId="15" xfId="0" applyFont="1" applyBorder="1" applyAlignment="1" applyProtection="1">
      <alignment horizontal="left" vertical="center"/>
      <protection hidden="1"/>
    </xf>
    <xf numFmtId="0" fontId="24" fillId="0" borderId="16" xfId="0" applyFont="1" applyBorder="1" applyAlignment="1" applyProtection="1">
      <alignment horizontal="left" vertical="center"/>
      <protection hidden="1"/>
    </xf>
    <xf numFmtId="0" fontId="24" fillId="0" borderId="0" xfId="0" applyFont="1" applyAlignment="1" applyProtection="1">
      <alignment horizontal="left" vertical="center"/>
      <protection hidden="1"/>
    </xf>
    <xf numFmtId="0" fontId="24" fillId="0" borderId="21" xfId="0" applyFont="1" applyBorder="1" applyAlignment="1" applyProtection="1">
      <alignment horizontal="left" vertical="center"/>
      <protection hidden="1"/>
    </xf>
    <xf numFmtId="0" fontId="27" fillId="15" borderId="20" xfId="0" applyFont="1" applyFill="1" applyBorder="1" applyAlignment="1" applyProtection="1">
      <alignment horizontal="left" vertical="center" wrapText="1"/>
      <protection hidden="1"/>
    </xf>
    <xf numFmtId="0" fontId="27" fillId="15" borderId="0" xfId="0" applyFont="1" applyFill="1" applyAlignment="1" applyProtection="1">
      <alignment horizontal="left" vertical="center" wrapText="1"/>
      <protection hidden="1"/>
    </xf>
    <xf numFmtId="0" fontId="27" fillId="15" borderId="17" xfId="0" applyFont="1" applyFill="1" applyBorder="1" applyAlignment="1" applyProtection="1">
      <alignment horizontal="left" vertical="center" wrapText="1"/>
      <protection hidden="1"/>
    </xf>
    <xf numFmtId="0" fontId="27" fillId="15" borderId="18" xfId="0" applyFont="1" applyFill="1" applyBorder="1" applyAlignment="1" applyProtection="1">
      <alignment horizontal="left" vertical="center" wrapText="1"/>
      <protection hidden="1"/>
    </xf>
    <xf numFmtId="0" fontId="22" fillId="18" borderId="11" xfId="0" applyFont="1" applyFill="1" applyBorder="1" applyAlignment="1" applyProtection="1">
      <alignment horizontal="right" vertical="center"/>
      <protection hidden="1"/>
    </xf>
    <xf numFmtId="0" fontId="22" fillId="18" borderId="13" xfId="0" applyFont="1" applyFill="1" applyBorder="1" applyAlignment="1" applyProtection="1">
      <alignment horizontal="right" vertical="center"/>
      <protection hidden="1"/>
    </xf>
    <xf numFmtId="0" fontId="29" fillId="0" borderId="11" xfId="0" applyFont="1" applyBorder="1" applyAlignment="1" applyProtection="1">
      <alignment horizontal="center" vertical="center" wrapText="1"/>
      <protection hidden="1"/>
    </xf>
    <xf numFmtId="0" fontId="29" fillId="0" borderId="12" xfId="0" applyFont="1" applyBorder="1" applyAlignment="1" applyProtection="1">
      <alignment horizontal="center" vertical="center" wrapText="1"/>
      <protection hidden="1"/>
    </xf>
    <xf numFmtId="0" fontId="29" fillId="0" borderId="13" xfId="0" applyFont="1" applyBorder="1" applyAlignment="1" applyProtection="1">
      <alignment horizontal="center" vertical="center" wrapText="1"/>
      <protection hidden="1"/>
    </xf>
    <xf numFmtId="3" fontId="22" fillId="0" borderId="11" xfId="1" applyNumberFormat="1" applyFont="1" applyBorder="1" applyAlignment="1" applyProtection="1">
      <alignment horizontal="center" vertical="center"/>
      <protection hidden="1"/>
    </xf>
    <xf numFmtId="3" fontId="22" fillId="0" borderId="12" xfId="1" applyNumberFormat="1" applyFont="1" applyBorder="1" applyAlignment="1" applyProtection="1">
      <alignment horizontal="center" vertical="center"/>
      <protection hidden="1"/>
    </xf>
    <xf numFmtId="3" fontId="22" fillId="0" borderId="13" xfId="1" applyNumberFormat="1" applyFont="1" applyBorder="1" applyAlignment="1" applyProtection="1">
      <alignment horizontal="center" vertical="center"/>
      <protection hidden="1"/>
    </xf>
    <xf numFmtId="0" fontId="27" fillId="23" borderId="11" xfId="0" applyFont="1" applyFill="1" applyBorder="1" applyAlignment="1" applyProtection="1">
      <alignment horizontal="center" vertical="center" wrapText="1"/>
      <protection hidden="1"/>
    </xf>
    <xf numFmtId="0" fontId="27" fillId="23" borderId="12" xfId="0" applyFont="1" applyFill="1" applyBorder="1" applyAlignment="1" applyProtection="1">
      <alignment horizontal="center" vertical="center" wrapText="1"/>
      <protection hidden="1"/>
    </xf>
    <xf numFmtId="0" fontId="27" fillId="23" borderId="13" xfId="0" applyFont="1" applyFill="1" applyBorder="1" applyAlignment="1" applyProtection="1">
      <alignment horizontal="center" vertical="center" wrapText="1"/>
      <protection hidden="1"/>
    </xf>
    <xf numFmtId="0" fontId="33" fillId="31" borderId="14" xfId="0" applyFont="1" applyFill="1" applyBorder="1" applyAlignment="1" applyProtection="1">
      <alignment horizontal="center" vertical="center" wrapText="1"/>
      <protection hidden="1"/>
    </xf>
    <xf numFmtId="0" fontId="33" fillId="31" borderId="16" xfId="0" applyFont="1" applyFill="1" applyBorder="1" applyAlignment="1" applyProtection="1">
      <alignment horizontal="center" vertical="center" wrapText="1"/>
      <protection hidden="1"/>
    </xf>
    <xf numFmtId="0" fontId="33" fillId="31" borderId="17" xfId="0" applyFont="1" applyFill="1" applyBorder="1" applyAlignment="1" applyProtection="1">
      <alignment horizontal="center" vertical="center" wrapText="1"/>
      <protection hidden="1"/>
    </xf>
    <xf numFmtId="0" fontId="33" fillId="31" borderId="19" xfId="0" applyFont="1" applyFill="1" applyBorder="1" applyAlignment="1" applyProtection="1">
      <alignment horizontal="center" vertical="center" wrapText="1"/>
      <protection hidden="1"/>
    </xf>
    <xf numFmtId="0" fontId="30" fillId="18" borderId="14" xfId="0" applyFont="1" applyFill="1" applyBorder="1" applyAlignment="1" applyProtection="1">
      <alignment horizontal="center" vertical="center" wrapText="1"/>
      <protection hidden="1"/>
    </xf>
    <xf numFmtId="0" fontId="30" fillId="18" borderId="15" xfId="0" applyFont="1" applyFill="1" applyBorder="1" applyAlignment="1" applyProtection="1">
      <alignment horizontal="center" vertical="center" wrapText="1"/>
      <protection hidden="1"/>
    </xf>
    <xf numFmtId="0" fontId="30" fillId="18" borderId="16" xfId="0" applyFont="1" applyFill="1" applyBorder="1" applyAlignment="1" applyProtection="1">
      <alignment horizontal="center" vertical="center" wrapText="1"/>
      <protection hidden="1"/>
    </xf>
    <xf numFmtId="0" fontId="30" fillId="18" borderId="17" xfId="0" applyFont="1" applyFill="1" applyBorder="1" applyAlignment="1" applyProtection="1">
      <alignment horizontal="center" vertical="center" wrapText="1"/>
      <protection hidden="1"/>
    </xf>
    <xf numFmtId="0" fontId="30" fillId="18" borderId="18" xfId="0" applyFont="1" applyFill="1" applyBorder="1" applyAlignment="1" applyProtection="1">
      <alignment horizontal="center" vertical="center" wrapText="1"/>
      <protection hidden="1"/>
    </xf>
    <xf numFmtId="0" fontId="30" fillId="18" borderId="19" xfId="0" applyFont="1" applyFill="1" applyBorder="1" applyAlignment="1" applyProtection="1">
      <alignment horizontal="center" vertical="center" wrapText="1"/>
      <protection hidden="1"/>
    </xf>
    <xf numFmtId="0" fontId="22" fillId="18" borderId="15" xfId="0" applyFont="1" applyFill="1" applyBorder="1" applyAlignment="1" applyProtection="1">
      <alignment horizontal="center" vertical="center" wrapText="1"/>
      <protection hidden="1"/>
    </xf>
    <xf numFmtId="0" fontId="22" fillId="18" borderId="16" xfId="0" applyFont="1" applyFill="1" applyBorder="1" applyAlignment="1" applyProtection="1">
      <alignment horizontal="center" vertical="center" wrapText="1"/>
      <protection hidden="1"/>
    </xf>
    <xf numFmtId="0" fontId="45" fillId="6" borderId="14" xfId="0" applyFont="1" applyFill="1" applyBorder="1" applyAlignment="1" applyProtection="1">
      <alignment horizontal="center" vertical="center"/>
      <protection hidden="1"/>
    </xf>
    <xf numFmtId="0" fontId="45" fillId="6" borderId="15" xfId="0" applyFont="1" applyFill="1" applyBorder="1" applyAlignment="1" applyProtection="1">
      <alignment horizontal="center" vertical="center"/>
      <protection hidden="1"/>
    </xf>
    <xf numFmtId="0" fontId="45" fillId="6" borderId="16" xfId="0" applyFont="1" applyFill="1" applyBorder="1" applyAlignment="1" applyProtection="1">
      <alignment horizontal="center" vertical="center"/>
      <protection hidden="1"/>
    </xf>
    <xf numFmtId="0" fontId="45" fillId="6" borderId="17" xfId="0" applyFont="1" applyFill="1" applyBorder="1" applyAlignment="1" applyProtection="1">
      <alignment horizontal="center" vertical="center"/>
      <protection hidden="1"/>
    </xf>
    <xf numFmtId="0" fontId="45" fillId="6" borderId="18" xfId="0" applyFont="1" applyFill="1" applyBorder="1" applyAlignment="1" applyProtection="1">
      <alignment horizontal="center" vertical="center"/>
      <protection hidden="1"/>
    </xf>
    <xf numFmtId="0" fontId="45" fillId="6" borderId="19" xfId="0" applyFont="1" applyFill="1" applyBorder="1" applyAlignment="1" applyProtection="1">
      <alignment horizontal="center" vertical="center"/>
      <protection hidden="1"/>
    </xf>
    <xf numFmtId="0" fontId="37" fillId="0" borderId="14" xfId="0" applyFont="1" applyBorder="1" applyAlignment="1" applyProtection="1">
      <alignment horizontal="right" vertical="center"/>
      <protection hidden="1"/>
    </xf>
    <xf numFmtId="0" fontId="37" fillId="0" borderId="15" xfId="0" applyFont="1" applyBorder="1" applyAlignment="1" applyProtection="1">
      <alignment horizontal="right" vertical="center"/>
      <protection hidden="1"/>
    </xf>
    <xf numFmtId="0" fontId="37" fillId="0" borderId="16" xfId="0" applyFont="1" applyBorder="1" applyAlignment="1" applyProtection="1">
      <alignment horizontal="right" vertical="center"/>
      <protection hidden="1"/>
    </xf>
    <xf numFmtId="0" fontId="37" fillId="0" borderId="20" xfId="0" applyFont="1" applyBorder="1" applyAlignment="1" applyProtection="1">
      <alignment horizontal="right" vertical="center"/>
      <protection hidden="1"/>
    </xf>
    <xf numFmtId="0" fontId="37" fillId="0" borderId="0" xfId="0" applyFont="1" applyAlignment="1" applyProtection="1">
      <alignment horizontal="right" vertical="center"/>
      <protection hidden="1"/>
    </xf>
    <xf numFmtId="0" fontId="37" fillId="0" borderId="21" xfId="0" applyFont="1" applyBorder="1" applyAlignment="1" applyProtection="1">
      <alignment horizontal="right" vertical="center"/>
      <protection hidden="1"/>
    </xf>
    <xf numFmtId="0" fontId="37" fillId="0" borderId="17" xfId="0" applyFont="1" applyBorder="1" applyAlignment="1" applyProtection="1">
      <alignment horizontal="right" vertical="center"/>
      <protection hidden="1"/>
    </xf>
    <xf numFmtId="0" fontId="37" fillId="0" borderId="18" xfId="0" applyFont="1" applyBorder="1" applyAlignment="1" applyProtection="1">
      <alignment horizontal="right" vertical="center"/>
      <protection hidden="1"/>
    </xf>
    <xf numFmtId="0" fontId="37" fillId="0" borderId="19" xfId="0" applyFont="1" applyBorder="1" applyAlignment="1" applyProtection="1">
      <alignment horizontal="right" vertical="center"/>
      <protection hidden="1"/>
    </xf>
    <xf numFmtId="170" fontId="22" fillId="0" borderId="11" xfId="0" applyNumberFormat="1" applyFont="1" applyBorder="1" applyAlignment="1" applyProtection="1">
      <alignment horizontal="right" vertical="center"/>
      <protection hidden="1"/>
    </xf>
    <xf numFmtId="170" fontId="22" fillId="0" borderId="12" xfId="0" applyNumberFormat="1" applyFont="1" applyBorder="1" applyAlignment="1" applyProtection="1">
      <alignment horizontal="right" vertical="center"/>
      <protection hidden="1"/>
    </xf>
    <xf numFmtId="170" fontId="22" fillId="0" borderId="13" xfId="0" applyNumberFormat="1" applyFont="1" applyBorder="1" applyAlignment="1" applyProtection="1">
      <alignment horizontal="right" vertical="center"/>
      <protection hidden="1"/>
    </xf>
    <xf numFmtId="0" fontId="41" fillId="0" borderId="14" xfId="0" applyFont="1" applyBorder="1" applyAlignment="1" applyProtection="1">
      <alignment horizontal="right" vertical="center" wrapText="1"/>
      <protection hidden="1"/>
    </xf>
    <xf numFmtId="0" fontId="41" fillId="0" borderId="15" xfId="0" applyFont="1" applyBorder="1" applyAlignment="1" applyProtection="1">
      <alignment horizontal="right" vertical="center" wrapText="1"/>
      <protection hidden="1"/>
    </xf>
    <xf numFmtId="0" fontId="41" fillId="0" borderId="16" xfId="0" applyFont="1" applyBorder="1" applyAlignment="1" applyProtection="1">
      <alignment horizontal="right" vertical="center" wrapText="1"/>
      <protection hidden="1"/>
    </xf>
    <xf numFmtId="0" fontId="41" fillId="0" borderId="20" xfId="0" applyFont="1" applyBorder="1" applyAlignment="1" applyProtection="1">
      <alignment horizontal="right" vertical="center" wrapText="1"/>
      <protection hidden="1"/>
    </xf>
    <xf numFmtId="0" fontId="41" fillId="0" borderId="0" xfId="0" applyFont="1" applyAlignment="1" applyProtection="1">
      <alignment horizontal="right" vertical="center" wrapText="1"/>
      <protection hidden="1"/>
    </xf>
    <xf numFmtId="0" fontId="41" fillId="0" borderId="21" xfId="0" applyFont="1" applyBorder="1" applyAlignment="1" applyProtection="1">
      <alignment horizontal="right" vertical="center" wrapText="1"/>
      <protection hidden="1"/>
    </xf>
    <xf numFmtId="0" fontId="44" fillId="0" borderId="20" xfId="0" applyFont="1" applyBorder="1" applyAlignment="1" applyProtection="1">
      <alignment horizontal="right" vertical="center" wrapText="1"/>
      <protection hidden="1"/>
    </xf>
    <xf numFmtId="0" fontId="44" fillId="0" borderId="0" xfId="0" applyFont="1" applyAlignment="1" applyProtection="1">
      <alignment horizontal="right" vertical="center" wrapText="1"/>
      <protection hidden="1"/>
    </xf>
    <xf numFmtId="0" fontId="44" fillId="0" borderId="21" xfId="0" applyFont="1" applyBorder="1" applyAlignment="1" applyProtection="1">
      <alignment horizontal="right" vertical="center" wrapText="1"/>
      <protection hidden="1"/>
    </xf>
    <xf numFmtId="0" fontId="44" fillId="0" borderId="17" xfId="0" applyFont="1" applyBorder="1" applyAlignment="1" applyProtection="1">
      <alignment horizontal="right" vertical="center" wrapText="1"/>
      <protection hidden="1"/>
    </xf>
    <xf numFmtId="0" fontId="44" fillId="0" borderId="18" xfId="0" applyFont="1" applyBorder="1" applyAlignment="1" applyProtection="1">
      <alignment horizontal="right" vertical="center" wrapText="1"/>
      <protection hidden="1"/>
    </xf>
    <xf numFmtId="0" fontId="44" fillId="0" borderId="19" xfId="0" applyFont="1" applyBorder="1" applyAlignment="1" applyProtection="1">
      <alignment horizontal="right" vertical="center" wrapText="1"/>
      <protection hidden="1"/>
    </xf>
  </cellXfs>
  <cellStyles count="13">
    <cellStyle name="Comma" xfId="7" builtinId="3"/>
    <cellStyle name="Comma 2" xfId="10" xr:uid="{00000000-0005-0000-0000-000001000000}"/>
    <cellStyle name="Comma 4" xfId="3" xr:uid="{00000000-0005-0000-0000-000002000000}"/>
    <cellStyle name="Normal" xfId="0" builtinId="0"/>
    <cellStyle name="Normal 2" xfId="8" xr:uid="{00000000-0005-0000-0000-000004000000}"/>
    <cellStyle name="Normal 3" xfId="11" xr:uid="{00000000-0005-0000-0000-000005000000}"/>
    <cellStyle name="Normal 3 2" xfId="12" xr:uid="{00000000-0005-0000-0000-000006000000}"/>
    <cellStyle name="Normal 4" xfId="2" xr:uid="{00000000-0005-0000-0000-000007000000}"/>
    <cellStyle name="Num" xfId="4" xr:uid="{00000000-0005-0000-0000-000008000000}"/>
    <cellStyle name="Num 1D" xfId="6" xr:uid="{00000000-0005-0000-0000-000009000000}"/>
    <cellStyle name="Percent" xfId="1" builtinId="5"/>
    <cellStyle name="Percent 2" xfId="9" xr:uid="{00000000-0005-0000-0000-00000B000000}"/>
    <cellStyle name="Total 2" xfId="5" xr:uid="{00000000-0005-0000-0000-00000C000000}"/>
  </cellStyles>
  <dxfs count="196">
    <dxf>
      <fill>
        <patternFill>
          <bgColor theme="0"/>
        </patternFill>
      </fill>
    </dxf>
    <dxf>
      <numFmt numFmtId="174" formatCode="#,##0.000,,"/>
    </dxf>
    <dxf>
      <fill>
        <patternFill>
          <bgColor theme="0"/>
        </patternFill>
      </fill>
    </dxf>
    <dxf>
      <numFmt numFmtId="179" formatCode="#,##0.000"/>
    </dxf>
    <dxf>
      <fill>
        <patternFill>
          <bgColor theme="0"/>
        </patternFill>
      </fill>
    </dxf>
    <dxf>
      <numFmt numFmtId="173" formatCode=";;;"/>
      <fill>
        <patternFill>
          <bgColor theme="0"/>
        </patternFill>
      </fill>
    </dxf>
    <dxf>
      <numFmt numFmtId="173" formatCode=";;;"/>
      <fill>
        <patternFill>
          <bgColor theme="0"/>
        </patternFill>
      </fill>
    </dxf>
    <dxf>
      <numFmt numFmtId="173" formatCode=";;;"/>
      <fill>
        <patternFill>
          <bgColor theme="0"/>
        </patternFill>
      </fill>
    </dxf>
    <dxf>
      <numFmt numFmtId="173" formatCode=";;;"/>
      <fill>
        <patternFill>
          <bgColor theme="0"/>
        </patternFill>
      </fill>
    </dxf>
    <dxf>
      <numFmt numFmtId="173" formatCode=";;;"/>
      <fill>
        <patternFill>
          <bgColor theme="0"/>
        </patternFill>
      </fill>
    </dxf>
    <dxf>
      <numFmt numFmtId="172" formatCode="#,##0.00,"/>
    </dxf>
    <dxf>
      <numFmt numFmtId="172" formatCode="#,##0.00,"/>
    </dxf>
    <dxf>
      <fill>
        <patternFill>
          <bgColor theme="0" tint="-4.9989318521683403E-2"/>
        </patternFill>
      </fill>
    </dxf>
    <dxf>
      <numFmt numFmtId="173" formatCode=";;;"/>
    </dxf>
    <dxf>
      <fill>
        <patternFill>
          <bgColor theme="0"/>
        </patternFill>
      </fill>
    </dxf>
    <dxf>
      <numFmt numFmtId="172" formatCode="#,##0.00,"/>
    </dxf>
    <dxf>
      <font>
        <b/>
        <i val="0"/>
        <color theme="1"/>
      </font>
      <fill>
        <patternFill>
          <bgColor theme="6" tint="0.39994506668294322"/>
        </patternFill>
      </fill>
    </dxf>
    <dxf>
      <font>
        <b/>
        <i val="0"/>
        <color theme="1"/>
      </font>
      <fill>
        <patternFill>
          <bgColor theme="6" tint="0.59996337778862885"/>
        </patternFill>
      </fill>
    </dxf>
    <dxf>
      <font>
        <b/>
        <i val="0"/>
        <color theme="1"/>
      </font>
      <fill>
        <patternFill>
          <bgColor theme="6" tint="0.79998168889431442"/>
        </patternFill>
      </fill>
    </dxf>
    <dxf>
      <font>
        <b/>
        <i val="0"/>
        <color theme="0"/>
      </font>
      <fill>
        <patternFill>
          <bgColor theme="1" tint="0.499984740745262"/>
        </patternFill>
      </fill>
    </dxf>
    <dxf>
      <font>
        <b/>
        <i val="0"/>
        <color theme="0"/>
      </font>
      <fill>
        <patternFill>
          <bgColor theme="1" tint="0.499984740745262"/>
        </patternFill>
      </fill>
    </dxf>
    <dxf>
      <fill>
        <patternFill>
          <bgColor theme="0" tint="-4.9989318521683403E-2"/>
        </patternFill>
      </fill>
    </dxf>
    <dxf>
      <font>
        <b/>
        <i val="0"/>
        <color theme="0"/>
      </font>
      <fill>
        <patternFill>
          <bgColor theme="1" tint="0.499984740745262"/>
        </patternFill>
      </fill>
    </dxf>
    <dxf>
      <fill>
        <patternFill>
          <bgColor theme="0"/>
        </patternFill>
      </fill>
    </dxf>
    <dxf>
      <numFmt numFmtId="173" formatCode=";;;"/>
    </dxf>
    <dxf>
      <fill>
        <patternFill>
          <bgColor theme="0"/>
        </patternFill>
      </fill>
    </dxf>
    <dxf>
      <font>
        <b/>
        <i val="0"/>
        <color theme="1"/>
      </font>
      <fill>
        <patternFill>
          <bgColor rgb="FF92D050"/>
        </patternFill>
      </fill>
    </dxf>
    <dxf>
      <font>
        <b/>
        <i val="0"/>
        <color theme="1"/>
      </font>
      <fill>
        <patternFill>
          <bgColor rgb="FFFFC000"/>
        </patternFill>
      </fill>
    </dxf>
    <dxf>
      <font>
        <b/>
        <i val="0"/>
      </font>
      <fill>
        <patternFill>
          <bgColor rgb="FFFFC000"/>
        </patternFill>
      </fill>
    </dxf>
    <dxf>
      <font>
        <b/>
        <i val="0"/>
        <color theme="1"/>
      </font>
      <fill>
        <patternFill>
          <bgColor rgb="FF92D050"/>
        </patternFill>
      </fill>
    </dxf>
    <dxf>
      <font>
        <b/>
        <i val="0"/>
        <color theme="0"/>
      </font>
      <fill>
        <patternFill>
          <bgColor theme="3"/>
        </patternFill>
      </fill>
    </dxf>
    <dxf>
      <font>
        <b/>
        <i val="0"/>
        <color theme="1"/>
      </font>
      <fill>
        <patternFill>
          <bgColor theme="6" tint="0.79998168889431442"/>
        </patternFill>
      </fill>
    </dxf>
    <dxf>
      <font>
        <b/>
        <i val="0"/>
        <color theme="1"/>
      </font>
      <fill>
        <patternFill>
          <bgColor theme="6" tint="0.59996337778862885"/>
        </patternFill>
      </fill>
    </dxf>
    <dxf>
      <font>
        <b/>
        <i val="0"/>
        <color theme="0"/>
      </font>
      <fill>
        <patternFill>
          <bgColor theme="6"/>
        </patternFill>
      </fill>
    </dxf>
    <dxf>
      <font>
        <b/>
        <i val="0"/>
        <color theme="0"/>
      </font>
      <fill>
        <patternFill>
          <bgColor theme="6" tint="-0.24994659260841701"/>
        </patternFill>
      </fill>
    </dxf>
    <dxf>
      <font>
        <b/>
        <i val="0"/>
        <color theme="1"/>
      </font>
      <fill>
        <patternFill>
          <bgColor rgb="FFFFFF00"/>
        </patternFill>
      </fill>
    </dxf>
    <dxf>
      <font>
        <b/>
        <i val="0"/>
        <color theme="0"/>
      </font>
      <fill>
        <patternFill>
          <bgColor theme="3"/>
        </patternFill>
      </fill>
    </dxf>
    <dxf>
      <font>
        <b/>
        <i val="0"/>
        <color theme="1"/>
      </font>
      <fill>
        <patternFill>
          <bgColor theme="6" tint="0.79998168889431442"/>
        </patternFill>
      </fill>
    </dxf>
    <dxf>
      <font>
        <b/>
        <i val="0"/>
        <color theme="1"/>
      </font>
      <fill>
        <patternFill>
          <bgColor theme="6" tint="0.59996337778862885"/>
        </patternFill>
      </fill>
    </dxf>
    <dxf>
      <font>
        <b/>
        <i val="0"/>
        <color theme="0"/>
      </font>
      <fill>
        <patternFill>
          <bgColor theme="6"/>
        </patternFill>
      </fill>
    </dxf>
    <dxf>
      <font>
        <b/>
        <i val="0"/>
        <color theme="0"/>
      </font>
      <fill>
        <patternFill>
          <bgColor theme="6" tint="-0.24994659260841701"/>
        </patternFill>
      </fill>
    </dxf>
    <dxf>
      <font>
        <b/>
        <i val="0"/>
        <color theme="1"/>
      </font>
      <fill>
        <patternFill>
          <bgColor rgb="FFFFFF00"/>
        </patternFill>
      </fill>
    </dxf>
    <dxf>
      <fill>
        <patternFill>
          <bgColor theme="0"/>
        </patternFill>
      </fill>
    </dxf>
    <dxf>
      <font>
        <b/>
        <i val="0"/>
        <color theme="1"/>
      </font>
      <fill>
        <patternFill>
          <bgColor rgb="FF92D050"/>
        </patternFill>
      </fill>
    </dxf>
    <dxf>
      <font>
        <b/>
        <i val="0"/>
        <color theme="1"/>
      </font>
      <fill>
        <patternFill>
          <bgColor rgb="FFFFC000"/>
        </patternFill>
      </fill>
    </dxf>
    <dxf>
      <font>
        <b/>
        <i val="0"/>
        <color theme="1"/>
      </font>
      <fill>
        <patternFill>
          <bgColor rgb="FF92D050"/>
        </patternFill>
      </fill>
    </dxf>
    <dxf>
      <font>
        <b/>
        <i val="0"/>
        <color theme="1"/>
      </font>
      <fill>
        <patternFill>
          <bgColor rgb="FFFFC000"/>
        </patternFill>
      </fill>
    </dxf>
    <dxf>
      <font>
        <b/>
        <i val="0"/>
        <color theme="1"/>
      </font>
      <fill>
        <patternFill>
          <bgColor rgb="FF92D050"/>
        </patternFill>
      </fill>
    </dxf>
    <dxf>
      <font>
        <b/>
        <i val="0"/>
        <color theme="1"/>
      </font>
      <fill>
        <patternFill>
          <bgColor rgb="FFFFC000"/>
        </patternFill>
      </fill>
    </dxf>
    <dxf>
      <fill>
        <patternFill>
          <bgColor theme="0"/>
        </patternFill>
      </fill>
    </dxf>
    <dxf>
      <font>
        <b/>
        <i val="0"/>
        <color theme="0"/>
      </font>
      <fill>
        <patternFill>
          <bgColor theme="6" tint="-0.24994659260841701"/>
        </patternFill>
      </fill>
    </dxf>
    <dxf>
      <font>
        <b/>
        <i val="0"/>
        <color theme="1"/>
      </font>
      <fill>
        <patternFill>
          <bgColor rgb="FFFFFF00"/>
        </patternFill>
      </fill>
    </dxf>
    <dxf>
      <font>
        <b/>
        <i val="0"/>
        <color theme="0"/>
      </font>
      <fill>
        <patternFill>
          <bgColor theme="3"/>
        </patternFill>
      </fill>
    </dxf>
    <dxf>
      <font>
        <b/>
        <i val="0"/>
        <color theme="1"/>
      </font>
      <fill>
        <patternFill>
          <bgColor theme="6" tint="0.79998168889431442"/>
        </patternFill>
      </fill>
    </dxf>
    <dxf>
      <font>
        <b/>
        <i val="0"/>
        <color theme="1"/>
      </font>
      <fill>
        <patternFill>
          <bgColor theme="6" tint="0.59996337778862885"/>
        </patternFill>
      </fill>
    </dxf>
    <dxf>
      <font>
        <b/>
        <i val="0"/>
        <color theme="0"/>
      </font>
      <fill>
        <patternFill>
          <bgColor theme="6"/>
        </patternFill>
      </fill>
    </dxf>
    <dxf>
      <numFmt numFmtId="173" formatCode=";;;"/>
      <fill>
        <patternFill>
          <bgColor theme="0"/>
        </patternFill>
      </fill>
    </dxf>
    <dxf>
      <numFmt numFmtId="173" formatCode=";;;"/>
      <fill>
        <patternFill>
          <bgColor theme="0"/>
        </patternFill>
      </fill>
    </dxf>
    <dxf>
      <font>
        <b/>
        <i val="0"/>
        <color theme="1"/>
      </font>
      <fill>
        <patternFill>
          <bgColor rgb="FF92D050"/>
        </patternFill>
      </fill>
    </dxf>
    <dxf>
      <font>
        <b/>
        <i val="0"/>
        <color theme="1"/>
      </font>
      <fill>
        <patternFill>
          <bgColor rgb="FFFFC000"/>
        </patternFill>
      </fill>
    </dxf>
    <dxf>
      <font>
        <b/>
        <i val="0"/>
      </font>
      <fill>
        <patternFill>
          <bgColor rgb="FFFFC000"/>
        </patternFill>
      </fill>
    </dxf>
    <dxf>
      <font>
        <b/>
        <i val="0"/>
        <color theme="1"/>
      </font>
      <fill>
        <patternFill>
          <bgColor rgb="FF92D050"/>
        </patternFill>
      </fill>
    </dxf>
    <dxf>
      <font>
        <b/>
        <i val="0"/>
        <color theme="0"/>
      </font>
      <fill>
        <patternFill>
          <bgColor theme="3"/>
        </patternFill>
      </fill>
    </dxf>
    <dxf>
      <font>
        <b/>
        <i val="0"/>
        <color theme="1"/>
      </font>
      <fill>
        <patternFill>
          <bgColor theme="6" tint="0.79998168889431442"/>
        </patternFill>
      </fill>
    </dxf>
    <dxf>
      <font>
        <b/>
        <i val="0"/>
        <color theme="1"/>
      </font>
      <fill>
        <patternFill>
          <bgColor theme="6" tint="0.59996337778862885"/>
        </patternFill>
      </fill>
    </dxf>
    <dxf>
      <font>
        <b/>
        <i val="0"/>
        <color theme="0"/>
      </font>
      <fill>
        <patternFill>
          <bgColor theme="6"/>
        </patternFill>
      </fill>
    </dxf>
    <dxf>
      <font>
        <b/>
        <i val="0"/>
        <color theme="0"/>
      </font>
      <fill>
        <patternFill>
          <bgColor theme="6" tint="-0.24994659260841701"/>
        </patternFill>
      </fill>
    </dxf>
    <dxf>
      <font>
        <b/>
        <i val="0"/>
        <color theme="1"/>
      </font>
      <fill>
        <patternFill>
          <bgColor rgb="FFFFFF00"/>
        </patternFill>
      </fill>
    </dxf>
    <dxf>
      <font>
        <b/>
        <i val="0"/>
        <color theme="0"/>
      </font>
      <fill>
        <patternFill>
          <bgColor theme="3"/>
        </patternFill>
      </fill>
    </dxf>
    <dxf>
      <font>
        <b/>
        <i val="0"/>
        <color theme="1"/>
      </font>
      <fill>
        <patternFill>
          <bgColor theme="6" tint="0.79998168889431442"/>
        </patternFill>
      </fill>
    </dxf>
    <dxf>
      <font>
        <b/>
        <i val="0"/>
        <color theme="1"/>
      </font>
      <fill>
        <patternFill>
          <bgColor theme="6" tint="0.59996337778862885"/>
        </patternFill>
      </fill>
    </dxf>
    <dxf>
      <font>
        <b/>
        <i val="0"/>
        <color theme="0"/>
      </font>
      <fill>
        <patternFill>
          <bgColor theme="6"/>
        </patternFill>
      </fill>
    </dxf>
    <dxf>
      <font>
        <b/>
        <i val="0"/>
        <color theme="0"/>
      </font>
      <fill>
        <patternFill>
          <bgColor theme="6" tint="-0.24994659260841701"/>
        </patternFill>
      </fill>
    </dxf>
    <dxf>
      <font>
        <b/>
        <i val="0"/>
        <color theme="1"/>
      </font>
      <fill>
        <patternFill>
          <bgColor rgb="FFFFFF00"/>
        </patternFill>
      </fill>
    </dxf>
    <dxf>
      <fill>
        <patternFill>
          <bgColor theme="0"/>
        </patternFill>
      </fill>
    </dxf>
    <dxf>
      <font>
        <b/>
        <i val="0"/>
        <color theme="1"/>
      </font>
      <fill>
        <patternFill>
          <bgColor rgb="FF92D050"/>
        </patternFill>
      </fill>
    </dxf>
    <dxf>
      <font>
        <b/>
        <i val="0"/>
        <color theme="1"/>
      </font>
      <fill>
        <patternFill>
          <bgColor rgb="FFFFC000"/>
        </patternFill>
      </fill>
    </dxf>
    <dxf>
      <font>
        <b/>
        <i val="0"/>
        <color theme="1"/>
      </font>
      <fill>
        <patternFill>
          <bgColor rgb="FF92D050"/>
        </patternFill>
      </fill>
    </dxf>
    <dxf>
      <font>
        <b/>
        <i val="0"/>
        <color theme="1"/>
      </font>
      <fill>
        <patternFill>
          <bgColor rgb="FFFFC000"/>
        </patternFill>
      </fill>
    </dxf>
    <dxf>
      <fill>
        <patternFill>
          <bgColor theme="0"/>
        </patternFill>
      </fill>
    </dxf>
    <dxf>
      <numFmt numFmtId="179" formatCode="#,##0.000"/>
    </dxf>
    <dxf>
      <numFmt numFmtId="170" formatCode="#,##0.0"/>
    </dxf>
    <dxf>
      <font>
        <b/>
        <i val="0"/>
        <color theme="1"/>
      </font>
      <fill>
        <patternFill>
          <bgColor rgb="FF92D050"/>
        </patternFill>
      </fill>
    </dxf>
    <dxf>
      <font>
        <b/>
        <i val="0"/>
        <color theme="1"/>
      </font>
      <fill>
        <patternFill>
          <bgColor rgb="FFFFC000"/>
        </patternFill>
      </fill>
    </dxf>
    <dxf>
      <font>
        <b/>
        <i val="0"/>
        <color theme="0"/>
      </font>
      <fill>
        <patternFill>
          <bgColor theme="3"/>
        </patternFill>
      </fill>
    </dxf>
    <dxf>
      <font>
        <b/>
        <i val="0"/>
        <color theme="1"/>
      </font>
      <fill>
        <patternFill>
          <bgColor theme="6" tint="0.79998168889431442"/>
        </patternFill>
      </fill>
    </dxf>
    <dxf>
      <font>
        <b/>
        <i val="0"/>
        <color theme="1"/>
      </font>
      <fill>
        <patternFill>
          <bgColor theme="6" tint="0.59996337778862885"/>
        </patternFill>
      </fill>
    </dxf>
    <dxf>
      <font>
        <b/>
        <i val="0"/>
        <color theme="0"/>
      </font>
      <fill>
        <patternFill>
          <bgColor theme="6"/>
        </patternFill>
      </fill>
    </dxf>
    <dxf>
      <font>
        <b/>
        <i val="0"/>
        <color theme="0"/>
      </font>
      <fill>
        <patternFill>
          <bgColor theme="6" tint="-0.24994659260841701"/>
        </patternFill>
      </fill>
    </dxf>
    <dxf>
      <font>
        <b/>
        <i val="0"/>
        <color theme="1"/>
      </font>
      <fill>
        <patternFill>
          <bgColor rgb="FFFFFF00"/>
        </patternFill>
      </fill>
    </dxf>
    <dxf>
      <numFmt numFmtId="173" formatCode=";;;"/>
      <fill>
        <patternFill>
          <bgColor theme="0"/>
        </patternFill>
      </fill>
    </dxf>
    <dxf>
      <numFmt numFmtId="173" formatCode=";;;"/>
      <fill>
        <patternFill>
          <bgColor theme="0"/>
        </patternFill>
      </fill>
    </dxf>
    <dxf>
      <font>
        <b/>
        <i val="0"/>
        <color theme="1"/>
      </font>
      <fill>
        <patternFill>
          <bgColor rgb="FFFFC000"/>
        </patternFill>
      </fill>
    </dxf>
    <dxf>
      <font>
        <b/>
        <i val="0"/>
        <color theme="1"/>
      </font>
      <fill>
        <patternFill>
          <bgColor rgb="FF92D050"/>
        </patternFill>
      </fill>
    </dxf>
    <dxf>
      <font>
        <b/>
        <i val="0"/>
        <color theme="1"/>
      </font>
      <fill>
        <patternFill>
          <bgColor rgb="FF92D050"/>
        </patternFill>
      </fill>
    </dxf>
    <dxf>
      <font>
        <b/>
        <i val="0"/>
      </font>
      <fill>
        <patternFill>
          <bgColor rgb="FFFFC000"/>
        </patternFill>
      </fill>
    </dxf>
    <dxf>
      <font>
        <b/>
        <i val="0"/>
        <color theme="0"/>
      </font>
      <fill>
        <patternFill>
          <bgColor theme="3"/>
        </patternFill>
      </fill>
    </dxf>
    <dxf>
      <font>
        <b/>
        <i val="0"/>
        <color theme="1"/>
      </font>
      <fill>
        <patternFill>
          <bgColor theme="6" tint="0.79998168889431442"/>
        </patternFill>
      </fill>
    </dxf>
    <dxf>
      <font>
        <b/>
        <i val="0"/>
        <color theme="1"/>
      </font>
      <fill>
        <patternFill>
          <bgColor theme="6" tint="0.59996337778862885"/>
        </patternFill>
      </fill>
    </dxf>
    <dxf>
      <font>
        <b/>
        <i val="0"/>
        <color theme="0"/>
      </font>
      <fill>
        <patternFill>
          <bgColor theme="6"/>
        </patternFill>
      </fill>
    </dxf>
    <dxf>
      <font>
        <b/>
        <i val="0"/>
        <color theme="0"/>
      </font>
      <fill>
        <patternFill>
          <bgColor theme="6" tint="-0.24994659260841701"/>
        </patternFill>
      </fill>
    </dxf>
    <dxf>
      <font>
        <b/>
        <i val="0"/>
        <color theme="1"/>
      </font>
      <fill>
        <patternFill>
          <bgColor rgb="FFFFFF00"/>
        </patternFill>
      </fill>
    </dxf>
    <dxf>
      <font>
        <b/>
        <i val="0"/>
        <color theme="0"/>
      </font>
      <fill>
        <patternFill>
          <bgColor theme="3"/>
        </patternFill>
      </fill>
    </dxf>
    <dxf>
      <font>
        <b/>
        <i val="0"/>
        <color theme="1"/>
      </font>
      <fill>
        <patternFill>
          <bgColor theme="6" tint="0.79998168889431442"/>
        </patternFill>
      </fill>
    </dxf>
    <dxf>
      <font>
        <b/>
        <i val="0"/>
        <color theme="1"/>
      </font>
      <fill>
        <patternFill>
          <bgColor theme="6" tint="0.59996337778862885"/>
        </patternFill>
      </fill>
    </dxf>
    <dxf>
      <font>
        <b/>
        <i val="0"/>
        <color theme="0"/>
      </font>
      <fill>
        <patternFill>
          <bgColor theme="6"/>
        </patternFill>
      </fill>
    </dxf>
    <dxf>
      <font>
        <b/>
        <i val="0"/>
        <color theme="0"/>
      </font>
      <fill>
        <patternFill>
          <bgColor theme="6" tint="-0.24994659260841701"/>
        </patternFill>
      </fill>
    </dxf>
    <dxf>
      <font>
        <b/>
        <i val="0"/>
        <color theme="1"/>
      </font>
      <fill>
        <patternFill>
          <bgColor rgb="FFFFFF00"/>
        </patternFill>
      </fill>
    </dxf>
    <dxf>
      <fill>
        <patternFill>
          <bgColor theme="0"/>
        </patternFill>
      </fill>
    </dxf>
    <dxf>
      <font>
        <b/>
        <i val="0"/>
        <color theme="1"/>
      </font>
      <fill>
        <patternFill>
          <bgColor rgb="FF92D050"/>
        </patternFill>
      </fill>
    </dxf>
    <dxf>
      <font>
        <b/>
        <i val="0"/>
        <color theme="1"/>
      </font>
      <fill>
        <patternFill>
          <bgColor rgb="FFFFC000"/>
        </patternFill>
      </fill>
    </dxf>
    <dxf>
      <font>
        <b/>
        <i val="0"/>
        <color theme="1"/>
      </font>
      <fill>
        <patternFill>
          <bgColor rgb="FF92D050"/>
        </patternFill>
      </fill>
    </dxf>
    <dxf>
      <font>
        <b/>
        <i val="0"/>
        <color theme="1"/>
      </font>
      <fill>
        <patternFill>
          <bgColor rgb="FFFFC000"/>
        </patternFill>
      </fill>
    </dxf>
    <dxf>
      <fill>
        <patternFill>
          <bgColor theme="0"/>
        </patternFill>
      </fill>
    </dxf>
    <dxf>
      <numFmt numFmtId="179" formatCode="#,##0.000"/>
    </dxf>
    <dxf>
      <numFmt numFmtId="170" formatCode="#,##0.0"/>
    </dxf>
    <dxf>
      <font>
        <b/>
        <i val="0"/>
        <color theme="1"/>
      </font>
      <fill>
        <patternFill>
          <bgColor rgb="FF92D050"/>
        </patternFill>
      </fill>
    </dxf>
    <dxf>
      <font>
        <b/>
        <i val="0"/>
        <color theme="1"/>
      </font>
      <fill>
        <patternFill>
          <bgColor rgb="FFFFC000"/>
        </patternFill>
      </fill>
    </dxf>
    <dxf>
      <font>
        <b/>
        <i val="0"/>
        <color theme="1"/>
      </font>
      <fill>
        <patternFill>
          <bgColor theme="6" tint="0.59996337778862885"/>
        </patternFill>
      </fill>
    </dxf>
    <dxf>
      <font>
        <b/>
        <i val="0"/>
        <color theme="0"/>
      </font>
      <fill>
        <patternFill>
          <bgColor theme="6"/>
        </patternFill>
      </fill>
    </dxf>
    <dxf>
      <font>
        <b/>
        <i val="0"/>
        <color theme="0"/>
      </font>
      <fill>
        <patternFill>
          <bgColor theme="6" tint="-0.24994659260841701"/>
        </patternFill>
      </fill>
    </dxf>
    <dxf>
      <font>
        <b/>
        <i val="0"/>
        <color theme="1"/>
      </font>
      <fill>
        <patternFill>
          <bgColor rgb="FFFFFF00"/>
        </patternFill>
      </fill>
    </dxf>
    <dxf>
      <font>
        <b/>
        <i val="0"/>
        <color theme="0"/>
      </font>
      <fill>
        <patternFill>
          <bgColor theme="3"/>
        </patternFill>
      </fill>
    </dxf>
    <dxf>
      <font>
        <b/>
        <i val="0"/>
        <color theme="1"/>
      </font>
      <fill>
        <patternFill>
          <bgColor theme="6" tint="0.79998168889431442"/>
        </patternFill>
      </fill>
    </dxf>
    <dxf>
      <numFmt numFmtId="173" formatCode=";;;"/>
      <fill>
        <patternFill>
          <bgColor theme="0"/>
        </patternFill>
      </fill>
    </dxf>
    <dxf>
      <font>
        <b/>
        <i val="0"/>
        <color theme="1"/>
      </font>
      <fill>
        <patternFill>
          <bgColor rgb="FF92D050"/>
        </patternFill>
      </fill>
    </dxf>
    <dxf>
      <font>
        <b/>
        <i val="0"/>
        <color theme="1"/>
      </font>
      <fill>
        <patternFill>
          <bgColor rgb="FFFFC000"/>
        </patternFill>
      </fill>
    </dxf>
    <dxf>
      <font>
        <b/>
        <i val="0"/>
      </font>
      <fill>
        <patternFill>
          <bgColor rgb="FFFFC000"/>
        </patternFill>
      </fill>
    </dxf>
    <dxf>
      <font>
        <b/>
        <i val="0"/>
        <color theme="1"/>
      </font>
      <fill>
        <patternFill>
          <bgColor rgb="FF92D050"/>
        </patternFill>
      </fill>
    </dxf>
    <dxf>
      <font>
        <b/>
        <i val="0"/>
        <color theme="0"/>
      </font>
      <fill>
        <patternFill>
          <bgColor theme="3"/>
        </patternFill>
      </fill>
    </dxf>
    <dxf>
      <font>
        <b/>
        <i val="0"/>
        <color theme="1"/>
      </font>
      <fill>
        <patternFill>
          <bgColor theme="6" tint="0.79998168889431442"/>
        </patternFill>
      </fill>
    </dxf>
    <dxf>
      <font>
        <b/>
        <i val="0"/>
        <color theme="1"/>
      </font>
      <fill>
        <patternFill>
          <bgColor theme="6" tint="0.59996337778862885"/>
        </patternFill>
      </fill>
    </dxf>
    <dxf>
      <font>
        <b/>
        <i val="0"/>
        <color theme="0"/>
      </font>
      <fill>
        <patternFill>
          <bgColor theme="6"/>
        </patternFill>
      </fill>
    </dxf>
    <dxf>
      <font>
        <b/>
        <i val="0"/>
        <color theme="0"/>
      </font>
      <fill>
        <patternFill>
          <bgColor theme="6" tint="-0.24994659260841701"/>
        </patternFill>
      </fill>
    </dxf>
    <dxf>
      <font>
        <b/>
        <i val="0"/>
        <color theme="1"/>
      </font>
      <fill>
        <patternFill>
          <bgColor rgb="FFFFFF00"/>
        </patternFill>
      </fill>
    </dxf>
    <dxf>
      <fill>
        <patternFill>
          <bgColor theme="0"/>
        </patternFill>
      </fill>
    </dxf>
    <dxf>
      <font>
        <b/>
        <i val="0"/>
        <color theme="1"/>
      </font>
      <fill>
        <patternFill>
          <bgColor rgb="FF92D050"/>
        </patternFill>
      </fill>
    </dxf>
    <dxf>
      <font>
        <b/>
        <i val="0"/>
        <color theme="1"/>
      </font>
      <fill>
        <patternFill>
          <bgColor rgb="FFFFC000"/>
        </patternFill>
      </fill>
    </dxf>
    <dxf>
      <font>
        <b/>
        <i val="0"/>
        <color theme="1"/>
      </font>
      <fill>
        <patternFill>
          <bgColor rgb="FF92D050"/>
        </patternFill>
      </fill>
    </dxf>
    <dxf>
      <font>
        <b/>
        <i val="0"/>
        <color theme="1"/>
      </font>
      <fill>
        <patternFill>
          <bgColor rgb="FFFFC000"/>
        </patternFill>
      </fill>
    </dxf>
    <dxf>
      <fill>
        <patternFill>
          <bgColor theme="0"/>
        </patternFill>
      </fill>
    </dxf>
    <dxf>
      <numFmt numFmtId="179" formatCode="#,##0.000"/>
    </dxf>
    <dxf>
      <numFmt numFmtId="170" formatCode="#,##0.0"/>
    </dxf>
    <dxf>
      <font>
        <b/>
        <i val="0"/>
        <color theme="1"/>
      </font>
      <fill>
        <patternFill>
          <bgColor rgb="FF92D050"/>
        </patternFill>
      </fill>
    </dxf>
    <dxf>
      <font>
        <b/>
        <i val="0"/>
        <color theme="1"/>
      </font>
      <fill>
        <patternFill>
          <bgColor rgb="FFFFC000"/>
        </patternFill>
      </fill>
    </dxf>
    <dxf>
      <numFmt numFmtId="173" formatCode=";;;"/>
      <fill>
        <patternFill>
          <bgColor theme="0"/>
        </patternFill>
      </fill>
    </dxf>
    <dxf>
      <numFmt numFmtId="173" formatCode=";;;"/>
      <fill>
        <patternFill>
          <bgColor theme="0"/>
        </patternFill>
      </fill>
    </dxf>
    <dxf>
      <numFmt numFmtId="172" formatCode="#,##0.00,"/>
    </dxf>
    <dxf>
      <numFmt numFmtId="172" formatCode="#,##0.00,"/>
    </dxf>
    <dxf>
      <numFmt numFmtId="172" formatCode="#,##0.00,"/>
    </dxf>
    <dxf>
      <font>
        <b/>
        <i val="0"/>
        <color theme="0"/>
      </font>
      <fill>
        <patternFill>
          <bgColor theme="3"/>
        </patternFill>
      </fill>
    </dxf>
    <dxf>
      <font>
        <b/>
        <i val="0"/>
        <color theme="1"/>
      </font>
      <fill>
        <patternFill>
          <bgColor theme="6" tint="0.79998168889431442"/>
        </patternFill>
      </fill>
    </dxf>
    <dxf>
      <font>
        <b/>
        <i val="0"/>
        <color theme="1"/>
      </font>
      <fill>
        <patternFill>
          <bgColor theme="6" tint="0.59996337778862885"/>
        </patternFill>
      </fill>
    </dxf>
    <dxf>
      <font>
        <b/>
        <i val="0"/>
        <color theme="0"/>
      </font>
      <fill>
        <patternFill>
          <bgColor theme="6"/>
        </patternFill>
      </fill>
    </dxf>
    <dxf>
      <font>
        <b/>
        <i val="0"/>
        <color theme="0"/>
      </font>
      <fill>
        <patternFill>
          <bgColor theme="6" tint="-0.24994659260841701"/>
        </patternFill>
      </fill>
    </dxf>
    <dxf>
      <font>
        <b/>
        <i val="0"/>
        <color theme="1"/>
      </font>
      <fill>
        <patternFill>
          <bgColor rgb="FFFFFF00"/>
        </patternFill>
      </fill>
    </dxf>
    <dxf>
      <fill>
        <patternFill>
          <bgColor theme="0"/>
        </patternFill>
      </fill>
    </dxf>
    <dxf>
      <font>
        <b/>
        <i val="0"/>
        <color theme="1"/>
      </font>
      <fill>
        <patternFill>
          <bgColor rgb="FF92D050"/>
        </patternFill>
      </fill>
    </dxf>
    <dxf>
      <font>
        <b/>
        <i val="0"/>
        <color theme="1"/>
      </font>
      <fill>
        <patternFill>
          <bgColor rgb="FFFFC000"/>
        </patternFill>
      </fill>
    </dxf>
    <dxf>
      <fill>
        <patternFill>
          <bgColor theme="0"/>
        </patternFill>
      </fill>
    </dxf>
    <dxf>
      <fill>
        <patternFill>
          <bgColor theme="0"/>
        </patternFill>
      </fill>
    </dxf>
    <dxf>
      <font>
        <b/>
        <i val="0"/>
      </font>
      <fill>
        <patternFill>
          <bgColor rgb="FFFFC000"/>
        </patternFill>
      </fill>
    </dxf>
    <dxf>
      <font>
        <b/>
        <i val="0"/>
      </font>
      <fill>
        <patternFill>
          <bgColor rgb="FF92D050"/>
        </patternFill>
      </fill>
    </dxf>
    <dxf>
      <numFmt numFmtId="179" formatCode="#,##0.000"/>
    </dxf>
    <dxf>
      <font>
        <b/>
        <i val="0"/>
      </font>
      <fill>
        <patternFill>
          <bgColor rgb="FFFFC000"/>
        </patternFill>
      </fill>
    </dxf>
    <dxf>
      <font>
        <b/>
        <i val="0"/>
      </font>
      <fill>
        <patternFill>
          <bgColor rgb="FF92D050"/>
        </patternFill>
      </fill>
    </dxf>
    <dxf>
      <numFmt numFmtId="179" formatCode="#,##0.000"/>
    </dxf>
    <dxf>
      <numFmt numFmtId="179" formatCode="#,##0.000"/>
    </dxf>
    <dxf>
      <font>
        <b/>
        <i val="0"/>
      </font>
      <fill>
        <patternFill>
          <bgColor rgb="FFFFC000"/>
        </patternFill>
      </fill>
    </dxf>
    <dxf>
      <font>
        <b/>
        <i val="0"/>
      </font>
      <fill>
        <patternFill>
          <bgColor rgb="FF92D050"/>
        </patternFill>
      </fill>
    </dxf>
    <dxf>
      <font>
        <b/>
        <i val="0"/>
        <color rgb="FFFFFF00"/>
      </font>
      <fill>
        <patternFill>
          <bgColor rgb="FFFF0000"/>
        </patternFill>
      </fill>
    </dxf>
    <dxf>
      <numFmt numFmtId="179" formatCode="#,##0.000"/>
    </dxf>
    <dxf>
      <numFmt numFmtId="179" formatCode="#,##0.000"/>
    </dxf>
    <dxf>
      <font>
        <b/>
        <i val="0"/>
      </font>
      <fill>
        <patternFill>
          <bgColor rgb="FFFFC000"/>
        </patternFill>
      </fill>
    </dxf>
    <dxf>
      <font>
        <b/>
        <i val="0"/>
      </font>
      <fill>
        <patternFill>
          <bgColor rgb="FF92D050"/>
        </patternFill>
      </fill>
    </dxf>
    <dxf>
      <numFmt numFmtId="179" formatCode="#,##0.000"/>
    </dxf>
    <dxf>
      <numFmt numFmtId="179" formatCode="#,##0.000"/>
    </dxf>
    <dxf>
      <font>
        <b/>
        <i val="0"/>
      </font>
      <fill>
        <patternFill>
          <bgColor rgb="FFFFC000"/>
        </patternFill>
      </fill>
    </dxf>
    <dxf>
      <font>
        <b/>
        <i val="0"/>
      </font>
      <fill>
        <patternFill>
          <bgColor rgb="FF92D050"/>
        </patternFill>
      </fill>
    </dxf>
    <dxf>
      <font>
        <b/>
        <i val="0"/>
      </font>
      <fill>
        <patternFill>
          <bgColor rgb="FFFFC000"/>
        </patternFill>
      </fill>
    </dxf>
    <dxf>
      <font>
        <b/>
        <i val="0"/>
      </font>
      <fill>
        <patternFill>
          <bgColor rgb="FF92D050"/>
        </patternFill>
      </fill>
    </dxf>
    <dxf>
      <font>
        <b/>
        <i val="0"/>
        <color rgb="FFFFFF00"/>
      </font>
      <fill>
        <patternFill>
          <bgColor rgb="FFFF0000"/>
        </patternFill>
      </fill>
    </dxf>
    <dxf>
      <numFmt numFmtId="179" formatCode="#,##0.000"/>
    </dxf>
    <dxf>
      <numFmt numFmtId="179" formatCode="#,##0.000"/>
    </dxf>
    <dxf>
      <font>
        <b/>
        <i val="0"/>
      </font>
      <fill>
        <patternFill>
          <bgColor rgb="FFFFC000"/>
        </patternFill>
      </fill>
    </dxf>
    <dxf>
      <font>
        <b/>
        <i val="0"/>
      </font>
      <fill>
        <patternFill>
          <bgColor rgb="FF92D050"/>
        </patternFill>
      </fill>
    </dxf>
    <dxf>
      <numFmt numFmtId="179" formatCode="#,##0.000"/>
    </dxf>
    <dxf>
      <numFmt numFmtId="179" formatCode="#,##0.000"/>
    </dxf>
    <dxf>
      <font>
        <b/>
        <i val="0"/>
      </font>
      <fill>
        <patternFill>
          <bgColor rgb="FFFFC000"/>
        </patternFill>
      </fill>
    </dxf>
    <dxf>
      <font>
        <b/>
        <i val="0"/>
      </font>
      <fill>
        <patternFill>
          <bgColor rgb="FF92D050"/>
        </patternFill>
      </fill>
    </dxf>
    <dxf>
      <font>
        <color theme="0"/>
      </font>
      <fill>
        <patternFill>
          <bgColor theme="0"/>
        </patternFill>
      </fill>
    </dxf>
    <dxf>
      <font>
        <color theme="0"/>
      </font>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s>
  <tableStyles count="0" defaultTableStyle="TableStyleMedium9" defaultPivotStyle="PivotStyleLight16"/>
  <colors>
    <mruColors>
      <color rgb="FF558ED5"/>
      <color rgb="FFFFE8B9"/>
      <color rgb="FFECF2F8"/>
      <color rgb="FFE3EBF5"/>
      <color rgb="FFEFF4E4"/>
      <color rgb="FFFAFBF7"/>
      <color rgb="FFFFF2C9"/>
      <color rgb="FFFFFFFF"/>
      <color rgb="FFF7F7F7"/>
      <color rgb="FFFBFBF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charts/_rels/chart1.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11.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2.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3.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4.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5.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6.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7.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8.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9.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1.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2.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3.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4.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5.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6.xml.rels><?xml version="1.0" encoding="UTF-8" standalone="yes"?>
<Relationships xmlns="http://schemas.openxmlformats.org/package/2006/relationships"><Relationship Id="rId3" Type="http://schemas.openxmlformats.org/officeDocument/2006/relationships/themeOverride" Target="../theme/themeOverride7.xml"/><Relationship Id="rId2" Type="http://schemas.microsoft.com/office/2011/relationships/chartColorStyle" Target="colors25.xml"/><Relationship Id="rId1" Type="http://schemas.microsoft.com/office/2011/relationships/chartStyle" Target="style25.xml"/></Relationships>
</file>

<file path=xl/charts/_rels/chart27.xml.rels><?xml version="1.0" encoding="UTF-8" standalone="yes"?>
<Relationships xmlns="http://schemas.openxmlformats.org/package/2006/relationships"><Relationship Id="rId3" Type="http://schemas.openxmlformats.org/officeDocument/2006/relationships/themeOverride" Target="../theme/themeOverride8.xml"/><Relationship Id="rId2" Type="http://schemas.microsoft.com/office/2011/relationships/chartColorStyle" Target="colors26.xml"/><Relationship Id="rId1" Type="http://schemas.microsoft.com/office/2011/relationships/chartStyle" Target="style26.xml"/></Relationships>
</file>

<file path=xl/charts/_rels/chart28.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29.xml.rels><?xml version="1.0" encoding="UTF-8" standalone="yes"?>
<Relationships xmlns="http://schemas.openxmlformats.org/package/2006/relationships"><Relationship Id="rId3" Type="http://schemas.openxmlformats.org/officeDocument/2006/relationships/themeOverride" Target="../theme/themeOverride10.xml"/><Relationship Id="rId2" Type="http://schemas.microsoft.com/office/2011/relationships/chartColorStyle" Target="colors27.xml"/><Relationship Id="rId1" Type="http://schemas.microsoft.com/office/2011/relationships/chartStyle" Target="style27.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28.xml"/><Relationship Id="rId1" Type="http://schemas.microsoft.com/office/2011/relationships/chartStyle" Target="style28.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7.xml"/><Relationship Id="rId2" Type="http://schemas.microsoft.com/office/2011/relationships/chartColorStyle" Target="colors29.xml"/><Relationship Id="rId1" Type="http://schemas.microsoft.com/office/2011/relationships/chartStyle" Target="style29.xml"/></Relationships>
</file>

<file path=xl/charts/_rels/chart4.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3" Type="http://schemas.openxmlformats.org/officeDocument/2006/relationships/themeOverride" Target="../theme/themeOverride4.xml"/><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themeOverride" Target="../theme/themeOverride5.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themeOverride" Target="../theme/themeOverride6.xml"/><Relationship Id="rId2" Type="http://schemas.microsoft.com/office/2011/relationships/chartColorStyle" Target="colors8.xml"/><Relationship Id="rId1" Type="http://schemas.microsoft.com/office/2011/relationships/chartStyle" Target="style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27029791174591639"/>
          <c:y val="5.3890945750986421E-2"/>
          <c:w val="0.72970208825408356"/>
          <c:h val="0.89221810849802718"/>
        </c:manualLayout>
      </c:layout>
      <c:barChart>
        <c:barDir val="col"/>
        <c:grouping val="clustered"/>
        <c:varyColors val="0"/>
        <c:ser>
          <c:idx val="0"/>
          <c:order val="0"/>
          <c:tx>
            <c:strRef>
              <c:f>'COMPARATIVE HEADLINES'!$E$13</c:f>
              <c:strCache>
                <c:ptCount val="1"/>
                <c:pt idx="0">
                  <c:v>Visitor Days</c:v>
                </c:pt>
              </c:strCache>
            </c:strRef>
          </c:tx>
          <c:spPr>
            <a:solidFill>
              <a:srgbClr val="FF0000"/>
            </a:solidFill>
            <a:ln>
              <a:solidFill>
                <a:schemeClr val="bg1"/>
              </a:solidFill>
            </a:ln>
            <a:effectLst/>
          </c:spPr>
          <c:invertIfNegative val="0"/>
          <c:dLbls>
            <c:dLbl>
              <c:idx val="0"/>
              <c:numFmt formatCode="0.0%" sourceLinked="0"/>
              <c:spPr>
                <a:solidFill>
                  <a:schemeClr val="bg1">
                    <a:alpha val="25000"/>
                  </a:schemeClr>
                </a:solidFill>
                <a:ln>
                  <a:noFill/>
                </a:ln>
                <a:effectLst/>
              </c:spPr>
              <c:txPr>
                <a:bodyPr rot="-5400000" spcFirstLastPara="1" vertOverflow="ellipsis" horzOverflow="clip" vert="horz" wrap="square" lIns="38100" tIns="38160" rIns="38100" bIns="38160" anchor="b" anchorCtr="0">
                  <a:spAutoFit/>
                </a:bodyPr>
                <a:lstStyle/>
                <a:p>
                  <a:pPr algn="ctr" rtl="0">
                    <a:defRPr lang="en-GB" sz="1000" b="1" i="0" u="none" strike="noStrike" kern="1200" baseline="0">
                      <a:ln w="0">
                        <a:noFill/>
                      </a:ln>
                      <a:solidFill>
                        <a:sysClr val="windowText" lastClr="000000"/>
                      </a:solidFill>
                      <a:effectLst>
                        <a:outerShdw blurRad="63500" sx="126000" sy="126000" algn="ctr" rotWithShape="0">
                          <a:schemeClr val="bg1">
                            <a:alpha val="26000"/>
                          </a:schemeClr>
                        </a:outerShdw>
                      </a:effectLst>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 xmlns:c16="http://schemas.microsoft.com/office/drawing/2014/chart" uri="{C3380CC4-5D6E-409C-BE32-E72D297353CC}">
                  <c16:uniqueId val="{00000000-ABBF-4C6D-AF49-975AEB757B46}"/>
                </c:ext>
              </c:extLst>
            </c:dLbl>
            <c:numFmt formatCode="0.0%" sourceLinked="0"/>
            <c:spPr>
              <a:solidFill>
                <a:schemeClr val="bg1">
                  <a:alpha val="25000"/>
                </a:schemeClr>
              </a:solidFill>
              <a:ln>
                <a:noFill/>
              </a:ln>
              <a:effectLst/>
            </c:spPr>
            <c:txPr>
              <a:bodyPr rot="-5400000" spcFirstLastPara="1" vertOverflow="ellipsis" wrap="square" lIns="38100" tIns="19050" rIns="38100" bIns="19050" anchor="b" anchorCtr="0">
                <a:spAutoFit/>
              </a:bodyPr>
              <a:lstStyle/>
              <a:p>
                <a:pPr algn="ctr" rtl="0">
                  <a:defRPr lang="en-GB" sz="1000" b="1" i="0" u="none" strike="noStrike" kern="1200" baseline="0">
                    <a:ln w="0">
                      <a:noFill/>
                    </a:ln>
                    <a:solidFill>
                      <a:sysClr val="windowText" lastClr="000000"/>
                    </a:solidFill>
                    <a:effectLst>
                      <a:outerShdw blurRad="63500" sx="126000" sy="126000" algn="ctr" rotWithShape="0">
                        <a:schemeClr val="bg1">
                          <a:alpha val="26000"/>
                        </a:schemeClr>
                      </a:outerShdw>
                    </a:effectLst>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'COMPARATIVE HEADLINES'!$I$13</c:f>
              <c:numCache>
                <c:formatCode>0.0%</c:formatCode>
                <c:ptCount val="1"/>
                <c:pt idx="0">
                  <c:v>0.35997052896453074</c:v>
                </c:pt>
              </c:numCache>
            </c:numRef>
          </c:val>
          <c:extLst>
            <c:ext xmlns:c16="http://schemas.microsoft.com/office/drawing/2014/chart" uri="{C3380CC4-5D6E-409C-BE32-E72D297353CC}">
              <c16:uniqueId val="{00000001-ABBF-4C6D-AF49-975AEB757B46}"/>
            </c:ext>
          </c:extLst>
        </c:ser>
        <c:ser>
          <c:idx val="1"/>
          <c:order val="1"/>
          <c:tx>
            <c:strRef>
              <c:f>'COMPARATIVE HEADLINES'!$E$14</c:f>
              <c:strCache>
                <c:ptCount val="1"/>
                <c:pt idx="0">
                  <c:v>Visitor Numbers</c:v>
                </c:pt>
              </c:strCache>
            </c:strRef>
          </c:tx>
          <c:spPr>
            <a:solidFill>
              <a:srgbClr val="00B050"/>
            </a:solidFill>
            <a:ln>
              <a:solidFill>
                <a:schemeClr val="bg1"/>
              </a:solidFill>
            </a:ln>
            <a:effectLst/>
          </c:spPr>
          <c:invertIfNegative val="0"/>
          <c:dLbls>
            <c:dLbl>
              <c:idx val="0"/>
              <c:numFmt formatCode="0.0%" sourceLinked="0"/>
              <c:spPr>
                <a:solidFill>
                  <a:schemeClr val="bg1">
                    <a:alpha val="25000"/>
                  </a:schemeClr>
                </a:solidFill>
                <a:ln>
                  <a:noFill/>
                </a:ln>
                <a:effectLst/>
              </c:spPr>
              <c:txPr>
                <a:bodyPr rot="-5400000" spcFirstLastPara="1" vertOverflow="ellipsis" horzOverflow="clip" vert="horz" wrap="square" lIns="38160" tIns="38160" rIns="38100" bIns="38160" anchor="ctr" anchorCtr="0">
                  <a:spAutoFit/>
                </a:bodyPr>
                <a:lstStyle/>
                <a:p>
                  <a:pPr algn="ctr">
                    <a:defRPr lang="en-US" sz="1000" b="1" i="0" u="none" strike="noStrike" kern="1200" baseline="0">
                      <a:ln w="0">
                        <a:noFill/>
                      </a:ln>
                      <a:solidFill>
                        <a:sysClr val="windowText" lastClr="000000"/>
                      </a:solidFill>
                      <a:effectLst>
                        <a:outerShdw blurRad="63500" sx="126000" sy="126000" algn="ctr" rotWithShape="0">
                          <a:schemeClr val="bg1">
                            <a:alpha val="26000"/>
                          </a:schemeClr>
                        </a:outerShdw>
                      </a:effectLst>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 xmlns:c16="http://schemas.microsoft.com/office/drawing/2014/chart" uri="{C3380CC4-5D6E-409C-BE32-E72D297353CC}">
                  <c16:uniqueId val="{00000002-ABBF-4C6D-AF49-975AEB757B46}"/>
                </c:ext>
              </c:extLst>
            </c:dLbl>
            <c:numFmt formatCode="0.0%" sourceLinked="0"/>
            <c:spPr>
              <a:solidFill>
                <a:schemeClr val="bg1">
                  <a:alpha val="25000"/>
                </a:schemeClr>
              </a:solidFill>
              <a:ln>
                <a:noFill/>
              </a:ln>
              <a:effectLst/>
            </c:spPr>
            <c:txPr>
              <a:bodyPr rot="0" spcFirstLastPara="1" vertOverflow="ellipsis" vert="horz" wrap="square" lIns="38160" tIns="38160" rIns="38100" bIns="38160" anchor="ctr" anchorCtr="0">
                <a:spAutoFit/>
              </a:bodyPr>
              <a:lstStyle/>
              <a:p>
                <a:pPr algn="ctr">
                  <a:defRPr lang="en-GB" sz="1000" b="1" i="0" u="none" strike="noStrike" kern="1200" baseline="0">
                    <a:ln w="0">
                      <a:noFill/>
                    </a:ln>
                    <a:solidFill>
                      <a:sysClr val="windowText" lastClr="000000"/>
                    </a:solidFill>
                    <a:effectLst>
                      <a:outerShdw blurRad="63500" sx="126000" sy="126000" algn="ctr" rotWithShape="0">
                        <a:schemeClr val="bg1">
                          <a:alpha val="26000"/>
                        </a:schemeClr>
                      </a:outerShdw>
                    </a:effectLst>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'COMPARATIVE HEADLINES'!$I$14</c:f>
              <c:numCache>
                <c:formatCode>0.0%</c:formatCode>
                <c:ptCount val="1"/>
                <c:pt idx="0">
                  <c:v>0.35443979227710676</c:v>
                </c:pt>
              </c:numCache>
            </c:numRef>
          </c:val>
          <c:extLst>
            <c:ext xmlns:c16="http://schemas.microsoft.com/office/drawing/2014/chart" uri="{C3380CC4-5D6E-409C-BE32-E72D297353CC}">
              <c16:uniqueId val="{00000003-ABBF-4C6D-AF49-975AEB757B46}"/>
            </c:ext>
          </c:extLst>
        </c:ser>
        <c:ser>
          <c:idx val="2"/>
          <c:order val="2"/>
          <c:tx>
            <c:strRef>
              <c:f>'COMPARATIVE HEADLINES'!$E$16</c:f>
              <c:strCache>
                <c:ptCount val="1"/>
                <c:pt idx="0">
                  <c:v>Economic Impact</c:v>
                </c:pt>
              </c:strCache>
            </c:strRef>
          </c:tx>
          <c:spPr>
            <a:solidFill>
              <a:schemeClr val="accent1"/>
            </a:solidFill>
            <a:ln>
              <a:solidFill>
                <a:schemeClr val="bg1"/>
              </a:solidFill>
            </a:ln>
            <a:effectLst/>
          </c:spPr>
          <c:invertIfNegative val="0"/>
          <c:dLbls>
            <c:dLbl>
              <c:idx val="0"/>
              <c:numFmt formatCode="0.0%" sourceLinked="0"/>
              <c:spPr>
                <a:solidFill>
                  <a:schemeClr val="bg1">
                    <a:alpha val="25000"/>
                  </a:schemeClr>
                </a:solidFill>
                <a:ln>
                  <a:noFill/>
                </a:ln>
                <a:effectLst/>
              </c:spPr>
              <c:txPr>
                <a:bodyPr rot="-5400000" spcFirstLastPara="1" vertOverflow="ellipsis" horzOverflow="clip" vert="horz" wrap="square" lIns="38100" tIns="38160" rIns="38100" bIns="38160" anchor="b" anchorCtr="0">
                  <a:spAutoFit/>
                </a:bodyPr>
                <a:lstStyle/>
                <a:p>
                  <a:pPr algn="ctr" rtl="0">
                    <a:defRPr lang="en-GB" sz="1000" b="1" i="0" u="none" strike="noStrike" kern="1200" baseline="0">
                      <a:ln w="0">
                        <a:noFill/>
                      </a:ln>
                      <a:solidFill>
                        <a:sysClr val="windowText" lastClr="000000"/>
                      </a:solidFill>
                      <a:effectLst>
                        <a:outerShdw blurRad="63500" sx="126000" sy="126000" algn="ctr" rotWithShape="0">
                          <a:schemeClr val="bg1">
                            <a:alpha val="26000"/>
                          </a:schemeClr>
                        </a:outerShdw>
                      </a:effectLst>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 xmlns:c16="http://schemas.microsoft.com/office/drawing/2014/chart" uri="{C3380CC4-5D6E-409C-BE32-E72D297353CC}">
                  <c16:uniqueId val="{00000004-ABBF-4C6D-AF49-975AEB757B46}"/>
                </c:ext>
              </c:extLst>
            </c:dLbl>
            <c:numFmt formatCode="0.0%" sourceLinked="0"/>
            <c:spPr>
              <a:solidFill>
                <a:schemeClr val="bg1">
                  <a:alpha val="25000"/>
                </a:schemeClr>
              </a:solidFill>
              <a:ln>
                <a:noFill/>
              </a:ln>
              <a:effectLst/>
            </c:spPr>
            <c:txPr>
              <a:bodyPr rot="0" spcFirstLastPara="1" vertOverflow="ellipsis" vert="horz" wrap="square" lIns="38100" tIns="38160" rIns="38100" bIns="38160" anchor="ctr" anchorCtr="0">
                <a:spAutoFit/>
              </a:bodyPr>
              <a:lstStyle/>
              <a:p>
                <a:pPr algn="ctr" rtl="0">
                  <a:defRPr lang="en-GB" sz="1000" b="1" i="0" u="none" strike="noStrike" kern="1200" baseline="0">
                    <a:ln w="0">
                      <a:noFill/>
                    </a:ln>
                    <a:solidFill>
                      <a:sysClr val="windowText" lastClr="000000"/>
                    </a:solidFill>
                    <a:effectLst>
                      <a:outerShdw blurRad="63500" sx="126000" sy="126000" algn="ctr" rotWithShape="0">
                        <a:schemeClr val="bg1">
                          <a:alpha val="26000"/>
                        </a:schemeClr>
                      </a:outerShdw>
                    </a:effectLst>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'COMPARATIVE HEADLINES'!$I$16</c:f>
              <c:numCache>
                <c:formatCode>0.0%</c:formatCode>
                <c:ptCount val="1"/>
                <c:pt idx="0">
                  <c:v>0.29283774238023907</c:v>
                </c:pt>
              </c:numCache>
            </c:numRef>
          </c:val>
          <c:extLst>
            <c:ext xmlns:c16="http://schemas.microsoft.com/office/drawing/2014/chart" uri="{C3380CC4-5D6E-409C-BE32-E72D297353CC}">
              <c16:uniqueId val="{00000005-ABBF-4C6D-AF49-975AEB757B46}"/>
            </c:ext>
          </c:extLst>
        </c:ser>
        <c:ser>
          <c:idx val="3"/>
          <c:order val="3"/>
          <c:tx>
            <c:strRef>
              <c:f>'COMPARATIVE HEADLINES'!$E$17</c:f>
              <c:strCache>
                <c:ptCount val="1"/>
                <c:pt idx="0">
                  <c:v>Direct Employment</c:v>
                </c:pt>
              </c:strCache>
            </c:strRef>
          </c:tx>
          <c:spPr>
            <a:solidFill>
              <a:schemeClr val="accent6">
                <a:lumMod val="60000"/>
                <a:lumOff val="40000"/>
              </a:schemeClr>
            </a:solidFill>
            <a:ln>
              <a:solidFill>
                <a:schemeClr val="bg1"/>
              </a:solidFill>
            </a:ln>
            <a:effectLst/>
          </c:spPr>
          <c:invertIfNegative val="0"/>
          <c:dLbls>
            <c:numFmt formatCode="0.0%" sourceLinked="0"/>
            <c:spPr>
              <a:solidFill>
                <a:schemeClr val="bg1">
                  <a:alpha val="25000"/>
                </a:schemeClr>
              </a:solidFill>
              <a:ln>
                <a:noFill/>
              </a:ln>
              <a:effectLst/>
            </c:spPr>
            <c:txPr>
              <a:bodyPr rot="-5400000" spcFirstLastPara="1" vertOverflow="ellipsis" horzOverflow="clip" vert="horz" wrap="square" lIns="38100" tIns="38160" rIns="38100" bIns="38160" anchor="ctr" anchorCtr="0">
                <a:spAutoFit/>
              </a:bodyPr>
              <a:lstStyle/>
              <a:p>
                <a:pPr algn="ctr" rtl="0">
                  <a:defRPr lang="en-GB" sz="1000" b="1" i="0" u="none" strike="noStrike" kern="1200" baseline="0">
                    <a:ln w="0">
                      <a:noFill/>
                    </a:ln>
                    <a:solidFill>
                      <a:sysClr val="windowText" lastClr="000000"/>
                    </a:solidFill>
                    <a:effectLst>
                      <a:outerShdw blurRad="63500" sx="126000" sy="126000" algn="ctr" rotWithShape="0">
                        <a:schemeClr val="bg1">
                          <a:alpha val="26000"/>
                        </a:schemeClr>
                      </a:outerShdw>
                    </a:effectLst>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cap="flat" cmpd="sng" algn="ctr">
                      <a:solidFill>
                        <a:schemeClr val="tx1">
                          <a:lumMod val="35000"/>
                          <a:lumOff val="65000"/>
                        </a:schemeClr>
                      </a:solidFill>
                      <a:round/>
                    </a:ln>
                    <a:effectLst/>
                  </c:spPr>
                </c15:leaderLines>
              </c:ext>
            </c:extLst>
          </c:dLbls>
          <c:val>
            <c:numRef>
              <c:f>'COMPARATIVE HEADLINES'!$I$17</c:f>
              <c:numCache>
                <c:formatCode>0.0%</c:formatCode>
                <c:ptCount val="1"/>
                <c:pt idx="0">
                  <c:v>0.47320462723445367</c:v>
                </c:pt>
              </c:numCache>
            </c:numRef>
          </c:val>
          <c:extLst>
            <c:ext xmlns:c16="http://schemas.microsoft.com/office/drawing/2014/chart" uri="{C3380CC4-5D6E-409C-BE32-E72D297353CC}">
              <c16:uniqueId val="{00000006-ABBF-4C6D-AF49-975AEB757B46}"/>
            </c:ext>
          </c:extLst>
        </c:ser>
        <c:dLbls>
          <c:dLblPos val="outEnd"/>
          <c:showLegendKey val="0"/>
          <c:showVal val="1"/>
          <c:showCatName val="0"/>
          <c:showSerName val="0"/>
          <c:showPercent val="0"/>
          <c:showBubbleSize val="0"/>
        </c:dLbls>
        <c:gapWidth val="0"/>
        <c:overlap val="10"/>
        <c:axId val="683551344"/>
        <c:axId val="683553304"/>
      </c:barChart>
      <c:catAx>
        <c:axId val="683551344"/>
        <c:scaling>
          <c:orientation val="minMax"/>
        </c:scaling>
        <c:delete val="1"/>
        <c:axPos val="b"/>
        <c:majorTickMark val="none"/>
        <c:minorTickMark val="none"/>
        <c:tickLblPos val="nextTo"/>
        <c:crossAx val="683553304"/>
        <c:crosses val="autoZero"/>
        <c:auto val="1"/>
        <c:lblAlgn val="ctr"/>
        <c:lblOffset val="100"/>
        <c:noMultiLvlLbl val="0"/>
      </c:catAx>
      <c:valAx>
        <c:axId val="683553304"/>
        <c:scaling>
          <c:orientation val="minMax"/>
        </c:scaling>
        <c:delete val="0"/>
        <c:axPos val="l"/>
        <c:majorGridlines>
          <c:spPr>
            <a:ln w="9525" cap="flat" cmpd="sng" algn="ctr">
              <a:no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lgn="ctr">
              <a:defRPr lang="en-GB" sz="800" b="1" i="0" u="none" strike="noStrike" kern="1200" baseline="0">
                <a:ln w="0">
                  <a:noFill/>
                </a:ln>
                <a:solidFill>
                  <a:sysClr val="windowText" lastClr="000000"/>
                </a:solidFill>
                <a:effectLst>
                  <a:outerShdw blurRad="63500" sx="126000" sy="126000" algn="ctr" rotWithShape="0">
                    <a:schemeClr val="bg1">
                      <a:alpha val="26000"/>
                    </a:schemeClr>
                  </a:outerShdw>
                </a:effectLst>
                <a:latin typeface="+mn-lt"/>
                <a:ea typeface="+mn-ea"/>
                <a:cs typeface="+mn-cs"/>
              </a:defRPr>
            </a:pPr>
            <a:endParaRPr lang="en-US"/>
          </a:p>
        </c:txPr>
        <c:crossAx val="683551344"/>
        <c:crosses val="autoZero"/>
        <c:crossBetween val="between"/>
      </c:valAx>
      <c:spPr>
        <a:noFill/>
        <a:ln>
          <a:noFill/>
        </a:ln>
        <a:effectLst/>
      </c:spPr>
    </c:plotArea>
    <c:plotVisOnly val="1"/>
    <c:dispBlanksAs val="gap"/>
    <c:showDLblsOverMax val="0"/>
  </c:chart>
  <c:spPr>
    <a:solidFill>
      <a:sysClr val="window" lastClr="FFFFFF">
        <a:alpha val="5000"/>
      </a:sys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69736842105263"/>
          <c:y val="0"/>
          <c:w val="0.82730263157894735"/>
          <c:h val="0.6863162393162392"/>
        </c:manualLayout>
      </c:layout>
      <c:barChart>
        <c:barDir val="col"/>
        <c:grouping val="clustered"/>
        <c:varyColors val="0"/>
        <c:ser>
          <c:idx val="4"/>
          <c:order val="0"/>
          <c:tx>
            <c:v>Tourist Numbers</c:v>
          </c:tx>
          <c:spPr>
            <a:solidFill>
              <a:srgbClr val="00B050"/>
            </a:solidFill>
            <a:ln w="3175">
              <a:solidFill>
                <a:schemeClr val="tx1">
                  <a:lumMod val="65000"/>
                  <a:lumOff val="35000"/>
                </a:schemeClr>
              </a:solidFill>
            </a:ln>
            <a:effectLst/>
          </c:spPr>
          <c:invertIfNegative val="0"/>
          <c:dLbls>
            <c:spPr>
              <a:noFill/>
              <a:ln>
                <a:noFill/>
              </a:ln>
              <a:effectLst/>
            </c:spPr>
            <c:txPr>
              <a:bodyPr rot="-5400000" spcFirstLastPara="1" vertOverflow="ellipsis" wrap="square" lIns="38100" tIns="19050" rIns="38100" bIns="19050" anchor="ctr" anchorCtr="0">
                <a:spAutoFit/>
              </a:bodyPr>
              <a:lstStyle/>
              <a:p>
                <a:pPr algn="ctr">
                  <a:defRPr lang="en-GB" sz="1000" b="1" i="0" u="none" strike="noStrike" kern="1200" baseline="0">
                    <a:ln w="3175">
                      <a:noFill/>
                    </a:ln>
                    <a:solidFill>
                      <a:schemeClr val="bg1"/>
                    </a:solidFill>
                    <a:latin typeface="+mn-lt"/>
                    <a:ea typeface="+mn-ea"/>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trendline>
            <c:spPr>
              <a:ln w="63500" cap="rnd">
                <a:solidFill>
                  <a:schemeClr val="accent3"/>
                </a:solidFill>
                <a:prstDash val="sysDash"/>
              </a:ln>
              <a:effectLst/>
            </c:spPr>
            <c:trendlineType val="linear"/>
            <c:dispRSqr val="0"/>
            <c:dispEq val="0"/>
          </c:trendline>
          <c:cat>
            <c:numRef>
              <c:f>'VISITOR NUMBERS'!EIYEARS</c:f>
              <c:numCache>
                <c:formatCode>0</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numCache>
              <c:extLst xmlns:c15="http://schemas.microsoft.com/office/drawing/2012/chart"/>
            </c:numRef>
          </c:cat>
          <c:val>
            <c:numRef>
              <c:f>'VISITOR NUMBERS'!EIVISTYPETOTAL</c:f>
              <c:numCache>
                <c:formatCode>#,##0.00</c:formatCode>
                <c:ptCount val="12"/>
                <c:pt idx="0">
                  <c:v>7.19697162823259</c:v>
                </c:pt>
                <c:pt idx="1">
                  <c:v>6.54359657070676</c:v>
                </c:pt>
                <c:pt idx="2">
                  <c:v>6.6381864111263607</c:v>
                </c:pt>
                <c:pt idx="3">
                  <c:v>6.8472762114481505</c:v>
                </c:pt>
                <c:pt idx="4">
                  <c:v>6.8786821880959881</c:v>
                </c:pt>
                <c:pt idx="5">
                  <c:v>7.096107038448304</c:v>
                </c:pt>
                <c:pt idx="6">
                  <c:v>7.3559115406176572</c:v>
                </c:pt>
                <c:pt idx="7">
                  <c:v>7.5186771956628533</c:v>
                </c:pt>
                <c:pt idx="8">
                  <c:v>7.8091780767906895</c:v>
                </c:pt>
                <c:pt idx="9">
                  <c:v>3.6266737748989306</c:v>
                </c:pt>
                <c:pt idx="10">
                  <c:v>5.9352747183906773</c:v>
                </c:pt>
                <c:pt idx="11">
                  <c:v>7.8823038751344532</c:v>
                </c:pt>
              </c:numCache>
            </c:numRef>
          </c:val>
          <c:extLst>
            <c:ext xmlns:c16="http://schemas.microsoft.com/office/drawing/2014/chart" uri="{C3380CC4-5D6E-409C-BE32-E72D297353CC}">
              <c16:uniqueId val="{00000001-8105-40DF-95E6-3AE710FF39EC}"/>
            </c:ext>
          </c:extLst>
        </c:ser>
        <c:dLbls>
          <c:showLegendKey val="0"/>
          <c:showVal val="0"/>
          <c:showCatName val="0"/>
          <c:showSerName val="0"/>
          <c:showPercent val="0"/>
          <c:showBubbleSize val="0"/>
        </c:dLbls>
        <c:gapWidth val="75"/>
        <c:axId val="683563496"/>
        <c:axId val="683567024"/>
      </c:barChart>
      <c:valAx>
        <c:axId val="683567024"/>
        <c:scaling>
          <c:orientation val="minMax"/>
          <c:min val="0"/>
        </c:scaling>
        <c:delete val="1"/>
        <c:axPos val="r"/>
        <c:numFmt formatCode="#,##0.00" sourceLinked="1"/>
        <c:majorTickMark val="out"/>
        <c:minorTickMark val="none"/>
        <c:tickLblPos val="nextTo"/>
        <c:crossAx val="683563496"/>
        <c:crosses val="max"/>
        <c:crossBetween val="between"/>
      </c:valAx>
      <c:catAx>
        <c:axId val="683563496"/>
        <c:scaling>
          <c:orientation val="minMax"/>
        </c:scaling>
        <c:delete val="0"/>
        <c:axPos val="b"/>
        <c:numFmt formatCode="0" sourceLinked="1"/>
        <c:majorTickMark val="out"/>
        <c:minorTickMark val="none"/>
        <c:tickLblPos val="nextTo"/>
        <c:spPr>
          <a:noFill/>
          <a:ln w="9525" cap="flat" cmpd="sng" algn="ctr">
            <a:solidFill>
              <a:schemeClr val="accent1">
                <a:lumMod val="50000"/>
              </a:schemeClr>
            </a:solidFill>
            <a:round/>
          </a:ln>
          <a:effectLst/>
        </c:spPr>
        <c:txPr>
          <a:bodyPr rot="-5400000" spcFirstLastPara="1" vertOverflow="ellipsis"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crossAx val="683567024"/>
        <c:crosses val="autoZero"/>
        <c:auto val="1"/>
        <c:lblAlgn val="ctr"/>
        <c:lblOffset val="100"/>
        <c:noMultiLvlLbl val="0"/>
      </c:catAx>
      <c:spPr>
        <a:gradFill flip="none" rotWithShape="1">
          <a:gsLst>
            <a:gs pos="0">
              <a:schemeClr val="accent3">
                <a:lumMod val="5000"/>
                <a:lumOff val="95000"/>
              </a:schemeClr>
            </a:gs>
            <a:gs pos="74000">
              <a:schemeClr val="accent3">
                <a:lumMod val="45000"/>
                <a:lumOff val="55000"/>
              </a:schemeClr>
            </a:gs>
            <a:gs pos="83000">
              <a:schemeClr val="accent3">
                <a:lumMod val="45000"/>
                <a:lumOff val="55000"/>
              </a:schemeClr>
            </a:gs>
            <a:gs pos="100000">
              <a:schemeClr val="accent3">
                <a:lumMod val="30000"/>
                <a:lumOff val="70000"/>
              </a:schemeClr>
            </a:gs>
          </a:gsLst>
          <a:lin ang="5400000" scaled="1"/>
          <a:tileRect/>
        </a:gradFill>
        <a:ln>
          <a:noFill/>
        </a:ln>
        <a:effectLst/>
      </c:spPr>
    </c:plotArea>
    <c:legend>
      <c:legendPos val="b"/>
      <c:layout>
        <c:manualLayout>
          <c:xMode val="edge"/>
          <c:yMode val="edge"/>
          <c:x val="7.1815917078161817E-3"/>
          <c:y val="0.90841282051282046"/>
          <c:w val="0.98846189777125315"/>
          <c:h val="9.1587179487179496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orientation="portrait"/>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747191011235955"/>
          <c:y val="0"/>
          <c:w val="0.85252808988764039"/>
          <c:h val="0.6863162393162392"/>
        </c:manualLayout>
      </c:layout>
      <c:barChart>
        <c:barDir val="col"/>
        <c:grouping val="clustered"/>
        <c:varyColors val="0"/>
        <c:ser>
          <c:idx val="4"/>
          <c:order val="0"/>
          <c:tx>
            <c:v>Tourist Days</c:v>
          </c:tx>
          <c:spPr>
            <a:solidFill>
              <a:srgbClr val="FF0000"/>
            </a:solidFill>
            <a:ln w="3175">
              <a:solidFill>
                <a:schemeClr val="tx1">
                  <a:lumMod val="65000"/>
                  <a:lumOff val="35000"/>
                </a:schemeClr>
              </a:solidFill>
            </a:ln>
            <a:effectLst/>
          </c:spPr>
          <c:invertIfNegative val="0"/>
          <c:dLbls>
            <c:spPr>
              <a:noFill/>
              <a:ln>
                <a:noFill/>
              </a:ln>
              <a:effectLst/>
            </c:spPr>
            <c:txPr>
              <a:bodyPr rot="-5400000" spcFirstLastPara="1" vertOverflow="ellipsis" wrap="square" lIns="38100" tIns="19050" rIns="38100" bIns="19050" anchor="ctr" anchorCtr="0">
                <a:spAutoFit/>
              </a:bodyPr>
              <a:lstStyle/>
              <a:p>
                <a:pPr algn="ctr">
                  <a:defRPr lang="en-GB" sz="1000" b="1" i="0" u="none" strike="noStrike" kern="1200" baseline="0">
                    <a:ln w="3175">
                      <a:noFill/>
                    </a:ln>
                    <a:solidFill>
                      <a:schemeClr val="bg1"/>
                    </a:solidFill>
                    <a:latin typeface="+mn-lt"/>
                    <a:ea typeface="+mn-ea"/>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trendline>
            <c:spPr>
              <a:ln w="63500" cap="rnd">
                <a:solidFill>
                  <a:srgbClr val="FFC000"/>
                </a:solidFill>
                <a:prstDash val="sysDash"/>
              </a:ln>
              <a:effectLst/>
            </c:spPr>
            <c:trendlineType val="linear"/>
            <c:dispRSqr val="0"/>
            <c:dispEq val="0"/>
          </c:trendline>
          <c:cat>
            <c:numRef>
              <c:f>'VISITOR DAYS'!EIYEARS</c:f>
              <c:numCache>
                <c:formatCode>0</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numCache>
              <c:extLst xmlns:c15="http://schemas.microsoft.com/office/drawing/2012/chart"/>
            </c:numRef>
          </c:cat>
          <c:val>
            <c:numRef>
              <c:f>'VISITOR DAYS'!EIVISTYPETOTAL</c:f>
              <c:numCache>
                <c:formatCode>#,##0.00</c:formatCode>
                <c:ptCount val="12"/>
                <c:pt idx="0">
                  <c:v>21.981789902206987</c:v>
                </c:pt>
                <c:pt idx="1">
                  <c:v>19.810833348183625</c:v>
                </c:pt>
                <c:pt idx="2">
                  <c:v>20.834074880966927</c:v>
                </c:pt>
                <c:pt idx="3">
                  <c:v>21.573894222992809</c:v>
                </c:pt>
                <c:pt idx="4">
                  <c:v>21.189989895587825</c:v>
                </c:pt>
                <c:pt idx="5">
                  <c:v>21.743371720184342</c:v>
                </c:pt>
                <c:pt idx="6">
                  <c:v>22.465758899182635</c:v>
                </c:pt>
                <c:pt idx="7">
                  <c:v>22.949312872851628</c:v>
                </c:pt>
                <c:pt idx="8">
                  <c:v>23.932093714459494</c:v>
                </c:pt>
                <c:pt idx="9">
                  <c:v>9.9033721498036336</c:v>
                </c:pt>
                <c:pt idx="10">
                  <c:v>18.568647455330499</c:v>
                </c:pt>
                <c:pt idx="11">
                  <c:v>24.180314237896152</c:v>
                </c:pt>
              </c:numCache>
            </c:numRef>
          </c:val>
          <c:extLst>
            <c:ext xmlns:c16="http://schemas.microsoft.com/office/drawing/2014/chart" uri="{C3380CC4-5D6E-409C-BE32-E72D297353CC}">
              <c16:uniqueId val="{00000001-26C2-4D2D-BDFD-9B17E72D0209}"/>
            </c:ext>
          </c:extLst>
        </c:ser>
        <c:dLbls>
          <c:showLegendKey val="0"/>
          <c:showVal val="0"/>
          <c:showCatName val="0"/>
          <c:showSerName val="0"/>
          <c:showPercent val="0"/>
          <c:showBubbleSize val="0"/>
        </c:dLbls>
        <c:gapWidth val="75"/>
        <c:axId val="683563888"/>
        <c:axId val="683563104"/>
      </c:barChart>
      <c:valAx>
        <c:axId val="683563104"/>
        <c:scaling>
          <c:orientation val="minMax"/>
          <c:min val="0"/>
        </c:scaling>
        <c:delete val="1"/>
        <c:axPos val="r"/>
        <c:numFmt formatCode="#,##0.00" sourceLinked="1"/>
        <c:majorTickMark val="out"/>
        <c:minorTickMark val="none"/>
        <c:tickLblPos val="nextTo"/>
        <c:crossAx val="683563888"/>
        <c:crosses val="max"/>
        <c:crossBetween val="between"/>
      </c:valAx>
      <c:catAx>
        <c:axId val="683563888"/>
        <c:scaling>
          <c:orientation val="minMax"/>
        </c:scaling>
        <c:delete val="0"/>
        <c:axPos val="b"/>
        <c:numFmt formatCode="0" sourceLinked="1"/>
        <c:majorTickMark val="out"/>
        <c:minorTickMark val="none"/>
        <c:tickLblPos val="nextTo"/>
        <c:spPr>
          <a:noFill/>
          <a:ln w="9525" cap="flat" cmpd="sng" algn="ctr">
            <a:solidFill>
              <a:schemeClr val="accent1">
                <a:lumMod val="50000"/>
              </a:schemeClr>
            </a:solidFill>
            <a:round/>
          </a:ln>
          <a:effectLst/>
        </c:spPr>
        <c:txPr>
          <a:bodyPr rot="-5400000" spcFirstLastPara="1" vertOverflow="ellipsis"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crossAx val="683563104"/>
        <c:crosses val="autoZero"/>
        <c:auto val="1"/>
        <c:lblAlgn val="ctr"/>
        <c:lblOffset val="100"/>
        <c:noMultiLvlLbl val="0"/>
      </c:catAx>
      <c:spPr>
        <a:gradFill flip="none" rotWithShape="1">
          <a:gsLst>
            <a:gs pos="0">
              <a:schemeClr val="accent2">
                <a:lumMod val="5000"/>
                <a:lumOff val="95000"/>
              </a:schemeClr>
            </a:gs>
            <a:gs pos="74000">
              <a:schemeClr val="accent2">
                <a:lumMod val="45000"/>
                <a:lumOff val="55000"/>
              </a:schemeClr>
            </a:gs>
            <a:gs pos="83000">
              <a:schemeClr val="accent2">
                <a:lumMod val="45000"/>
                <a:lumOff val="55000"/>
              </a:schemeClr>
            </a:gs>
            <a:gs pos="100000">
              <a:schemeClr val="accent2">
                <a:lumMod val="30000"/>
                <a:lumOff val="70000"/>
              </a:schemeClr>
            </a:gs>
          </a:gsLst>
          <a:lin ang="5400000" scaled="1"/>
          <a:tileRect/>
        </a:gradFill>
        <a:ln>
          <a:noFill/>
        </a:ln>
        <a:effectLst/>
      </c:spPr>
    </c:plotArea>
    <c:legend>
      <c:legendPos val="b"/>
      <c:layout>
        <c:manualLayout>
          <c:xMode val="edge"/>
          <c:yMode val="edge"/>
          <c:x val="4.4057331403455436E-3"/>
          <c:y val="0.90841282051282046"/>
          <c:w val="0.99118853371930871"/>
          <c:h val="9.1587179487179496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orientation="portrait"/>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372421281216069"/>
          <c:y val="0"/>
          <c:w val="0.82627578718783934"/>
          <c:h val="0.6863162393162392"/>
        </c:manualLayout>
      </c:layout>
      <c:barChart>
        <c:barDir val="col"/>
        <c:grouping val="clustered"/>
        <c:varyColors val="0"/>
        <c:ser>
          <c:idx val="4"/>
          <c:order val="0"/>
          <c:tx>
            <c:v>EMPLOYMENT</c:v>
          </c:tx>
          <c:spPr>
            <a:solidFill>
              <a:schemeClr val="accent6"/>
            </a:solidFill>
            <a:ln w="3175">
              <a:solidFill>
                <a:schemeClr val="tx1">
                  <a:lumMod val="65000"/>
                  <a:lumOff val="35000"/>
                </a:schemeClr>
              </a:solidFill>
            </a:ln>
            <a:effectLst/>
          </c:spPr>
          <c:invertIfNegative val="0"/>
          <c:dLbls>
            <c:spPr>
              <a:noFill/>
              <a:ln>
                <a:noFill/>
              </a:ln>
              <a:effectLst/>
            </c:spPr>
            <c:txPr>
              <a:bodyPr rot="-5400000" spcFirstLastPara="1" vertOverflow="ellipsis" wrap="square" lIns="38100" tIns="19050" rIns="38100" bIns="19050" anchor="ctr" anchorCtr="0">
                <a:spAutoFit/>
              </a:bodyPr>
              <a:lstStyle/>
              <a:p>
                <a:pPr algn="ctr">
                  <a:defRPr lang="en-GB" sz="1000" b="1" i="0" u="none" strike="noStrike" kern="1200" baseline="0">
                    <a:ln w="3175">
                      <a:noFill/>
                    </a:ln>
                    <a:solidFill>
                      <a:schemeClr val="bg1"/>
                    </a:solidFill>
                    <a:latin typeface="+mn-lt"/>
                    <a:ea typeface="+mn-ea"/>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trendline>
            <c:spPr>
              <a:ln w="63500" cap="rnd">
                <a:solidFill>
                  <a:schemeClr val="accent6">
                    <a:lumMod val="75000"/>
                  </a:schemeClr>
                </a:solidFill>
                <a:prstDash val="sysDash"/>
              </a:ln>
              <a:effectLst/>
            </c:spPr>
            <c:trendlineType val="linear"/>
            <c:dispRSqr val="0"/>
            <c:dispEq val="0"/>
          </c:trendline>
          <c:cat>
            <c:numRef>
              <c:f>EMPLOYMENT!EIYEARS</c:f>
              <c:numCache>
                <c:formatCode>0</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numCache>
            </c:numRef>
          </c:cat>
          <c:val>
            <c:numRef>
              <c:f>EMPLOYMENT!EIVISTYPETOTAL</c:f>
              <c:numCache>
                <c:formatCode>#,##0</c:formatCode>
                <c:ptCount val="12"/>
                <c:pt idx="0">
                  <c:v>15905.551021787311</c:v>
                </c:pt>
                <c:pt idx="1">
                  <c:v>14511.622624979691</c:v>
                </c:pt>
                <c:pt idx="2">
                  <c:v>15585.069269511876</c:v>
                </c:pt>
                <c:pt idx="3">
                  <c:v>15021.65982362809</c:v>
                </c:pt>
                <c:pt idx="4">
                  <c:v>15242.822106384279</c:v>
                </c:pt>
                <c:pt idx="5">
                  <c:v>15556.913326413875</c:v>
                </c:pt>
                <c:pt idx="6">
                  <c:v>15749.658463365944</c:v>
                </c:pt>
                <c:pt idx="7">
                  <c:v>17213.576337968992</c:v>
                </c:pt>
                <c:pt idx="8">
                  <c:v>18244.362674763051</c:v>
                </c:pt>
                <c:pt idx="9">
                  <c:v>9571.1122662740581</c:v>
                </c:pt>
                <c:pt idx="10">
                  <c:v>14650.568010064269</c:v>
                </c:pt>
                <c:pt idx="11">
                  <c:v>17736.62959128595</c:v>
                </c:pt>
              </c:numCache>
            </c:numRef>
          </c:val>
          <c:extLst>
            <c:ext xmlns:c16="http://schemas.microsoft.com/office/drawing/2014/chart" uri="{C3380CC4-5D6E-409C-BE32-E72D297353CC}">
              <c16:uniqueId val="{00000001-75E2-41F2-87AA-2A5A12285D70}"/>
            </c:ext>
          </c:extLst>
        </c:ser>
        <c:dLbls>
          <c:showLegendKey val="0"/>
          <c:showVal val="0"/>
          <c:showCatName val="0"/>
          <c:showSerName val="0"/>
          <c:showPercent val="0"/>
          <c:showBubbleSize val="0"/>
        </c:dLbls>
        <c:gapWidth val="75"/>
        <c:axId val="683564280"/>
        <c:axId val="683566240"/>
      </c:barChart>
      <c:valAx>
        <c:axId val="683566240"/>
        <c:scaling>
          <c:orientation val="minMax"/>
          <c:min val="0"/>
        </c:scaling>
        <c:delete val="1"/>
        <c:axPos val="r"/>
        <c:numFmt formatCode="#,##0" sourceLinked="1"/>
        <c:majorTickMark val="out"/>
        <c:minorTickMark val="none"/>
        <c:tickLblPos val="nextTo"/>
        <c:crossAx val="683564280"/>
        <c:crosses val="max"/>
        <c:crossBetween val="between"/>
      </c:valAx>
      <c:catAx>
        <c:axId val="683564280"/>
        <c:scaling>
          <c:orientation val="minMax"/>
        </c:scaling>
        <c:delete val="0"/>
        <c:axPos val="b"/>
        <c:numFmt formatCode="0" sourceLinked="1"/>
        <c:majorTickMark val="out"/>
        <c:minorTickMark val="none"/>
        <c:tickLblPos val="nextTo"/>
        <c:spPr>
          <a:noFill/>
          <a:ln w="9525" cap="flat" cmpd="sng" algn="ctr">
            <a:solidFill>
              <a:schemeClr val="accent1">
                <a:lumMod val="50000"/>
              </a:schemeClr>
            </a:solidFill>
            <a:round/>
          </a:ln>
          <a:effectLst/>
        </c:spPr>
        <c:txPr>
          <a:bodyPr rot="-5400000" spcFirstLastPara="1" vertOverflow="ellipsis"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683566240"/>
        <c:crosses val="autoZero"/>
        <c:auto val="1"/>
        <c:lblAlgn val="ctr"/>
        <c:lblOffset val="100"/>
        <c:noMultiLvlLbl val="0"/>
      </c:catAx>
      <c:spPr>
        <a:gradFill flip="none" rotWithShape="1">
          <a:gsLst>
            <a:gs pos="0">
              <a:schemeClr val="accent6">
                <a:lumMod val="5000"/>
                <a:lumOff val="95000"/>
              </a:schemeClr>
            </a:gs>
            <a:gs pos="74000">
              <a:schemeClr val="accent6">
                <a:lumMod val="45000"/>
                <a:lumOff val="55000"/>
              </a:schemeClr>
            </a:gs>
            <a:gs pos="83000">
              <a:schemeClr val="accent6">
                <a:lumMod val="45000"/>
                <a:lumOff val="55000"/>
              </a:schemeClr>
            </a:gs>
            <a:gs pos="100000">
              <a:schemeClr val="accent6">
                <a:lumMod val="30000"/>
                <a:lumOff val="70000"/>
              </a:schemeClr>
            </a:gs>
          </a:gsLst>
          <a:lin ang="5400000" scaled="1"/>
          <a:tileRect/>
        </a:gradFill>
        <a:ln>
          <a:noFill/>
        </a:ln>
        <a:effectLst/>
      </c:spPr>
    </c:plotArea>
    <c:legend>
      <c:legendPos val="b"/>
      <c:layout>
        <c:manualLayout>
          <c:xMode val="edge"/>
          <c:yMode val="edge"/>
          <c:x val="5.8901641532096705E-3"/>
          <c:y val="0.90841282051282046"/>
          <c:w val="0.98821967169358094"/>
          <c:h val="9.1587179487179496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orientation="portrait"/>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13504953452725502"/>
          <c:w val="0.8086810107611232"/>
          <c:h val="0.86495046547274501"/>
        </c:manualLayout>
      </c:layout>
      <c:pieChart>
        <c:varyColors val="1"/>
        <c:dLbls>
          <c:dLblPos val="inEnd"/>
          <c:showLegendKey val="0"/>
          <c:showVal val="0"/>
          <c:showCatName val="0"/>
          <c:showSerName val="0"/>
          <c:showPercent val="0"/>
          <c:showBubbleSize val="0"/>
          <c:showLeaderLines val="0"/>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223346783314473"/>
          <c:y val="7.460896059321255E-2"/>
          <c:w val="0.73302641119019762"/>
          <c:h val="0.84579997430391129"/>
        </c:manualLayout>
      </c:layout>
      <c:pieChart>
        <c:varyColors val="1"/>
        <c:ser>
          <c:idx val="0"/>
          <c:order val="0"/>
          <c:spPr>
            <a:ln w="19050">
              <a:solidFill>
                <a:schemeClr val="bg1"/>
              </a:solidFill>
            </a:ln>
            <a:effectLst>
              <a:outerShdw blurRad="190500" sx="102000" sy="102000" algn="ctr" rotWithShape="0">
                <a:schemeClr val="accent1">
                  <a:alpha val="40000"/>
                </a:schemeClr>
              </a:outerShdw>
            </a:effectLst>
          </c:spPr>
          <c:dPt>
            <c:idx val="0"/>
            <c:bubble3D val="0"/>
            <c:spPr>
              <a:solidFill>
                <a:schemeClr val="accent3">
                  <a:lumMod val="20000"/>
                  <a:lumOff val="80000"/>
                </a:schemeClr>
              </a:solidFill>
              <a:ln w="19050">
                <a:solidFill>
                  <a:schemeClr val="bg1"/>
                </a:solidFill>
              </a:ln>
              <a:effectLst>
                <a:outerShdw blurRad="190500" sx="102000" sy="102000" algn="ctr" rotWithShape="0">
                  <a:schemeClr val="accent1">
                    <a:alpha val="40000"/>
                  </a:schemeClr>
                </a:outerShdw>
              </a:effectLst>
            </c:spPr>
            <c:extLst>
              <c:ext xmlns:c16="http://schemas.microsoft.com/office/drawing/2014/chart" uri="{C3380CC4-5D6E-409C-BE32-E72D297353CC}">
                <c16:uniqueId val="{00000001-6031-46A0-9E10-C0871D5A94F1}"/>
              </c:ext>
            </c:extLst>
          </c:dPt>
          <c:dPt>
            <c:idx val="1"/>
            <c:bubble3D val="0"/>
            <c:spPr>
              <a:solidFill>
                <a:schemeClr val="accent3">
                  <a:lumMod val="40000"/>
                  <a:lumOff val="60000"/>
                </a:schemeClr>
              </a:solidFill>
              <a:ln w="19050">
                <a:solidFill>
                  <a:schemeClr val="bg1"/>
                </a:solidFill>
              </a:ln>
              <a:effectLst>
                <a:outerShdw blurRad="190500" sx="102000" sy="102000" algn="ctr" rotWithShape="0">
                  <a:schemeClr val="accent1">
                    <a:alpha val="40000"/>
                  </a:schemeClr>
                </a:outerShdw>
              </a:effectLst>
            </c:spPr>
            <c:extLst>
              <c:ext xmlns:c16="http://schemas.microsoft.com/office/drawing/2014/chart" uri="{C3380CC4-5D6E-409C-BE32-E72D297353CC}">
                <c16:uniqueId val="{00000003-6031-46A0-9E10-C0871D5A94F1}"/>
              </c:ext>
            </c:extLst>
          </c:dPt>
          <c:dPt>
            <c:idx val="2"/>
            <c:bubble3D val="0"/>
            <c:spPr>
              <a:solidFill>
                <a:schemeClr val="accent3"/>
              </a:solidFill>
              <a:ln w="19050">
                <a:solidFill>
                  <a:schemeClr val="bg1"/>
                </a:solidFill>
              </a:ln>
              <a:effectLst>
                <a:outerShdw blurRad="190500" sx="102000" sy="102000" algn="ctr" rotWithShape="0">
                  <a:schemeClr val="accent1">
                    <a:alpha val="40000"/>
                  </a:schemeClr>
                </a:outerShdw>
              </a:effectLst>
            </c:spPr>
            <c:extLst>
              <c:ext xmlns:c16="http://schemas.microsoft.com/office/drawing/2014/chart" uri="{C3380CC4-5D6E-409C-BE32-E72D297353CC}">
                <c16:uniqueId val="{00000005-6031-46A0-9E10-C0871D5A94F1}"/>
              </c:ext>
            </c:extLst>
          </c:dPt>
          <c:dPt>
            <c:idx val="3"/>
            <c:bubble3D val="0"/>
            <c:spPr>
              <a:solidFill>
                <a:srgbClr val="FFFF00"/>
              </a:solidFill>
              <a:ln w="19050">
                <a:solidFill>
                  <a:schemeClr val="bg1"/>
                </a:solidFill>
              </a:ln>
              <a:effectLst>
                <a:outerShdw blurRad="190500" sx="102000" sy="102000" algn="ctr" rotWithShape="0">
                  <a:schemeClr val="accent1">
                    <a:alpha val="40000"/>
                  </a:schemeClr>
                </a:outerShdw>
              </a:effectLst>
            </c:spPr>
            <c:extLst>
              <c:ext xmlns:c16="http://schemas.microsoft.com/office/drawing/2014/chart" uri="{C3380CC4-5D6E-409C-BE32-E72D297353CC}">
                <c16:uniqueId val="{00000007-6031-46A0-9E10-C0871D5A94F1}"/>
              </c:ext>
            </c:extLst>
          </c:dPt>
          <c:dPt>
            <c:idx val="4"/>
            <c:bubble3D val="0"/>
            <c:spPr>
              <a:solidFill>
                <a:srgbClr val="FFFF00"/>
              </a:solidFill>
              <a:ln w="19050">
                <a:solidFill>
                  <a:schemeClr val="bg1"/>
                </a:solidFill>
              </a:ln>
              <a:effectLst>
                <a:outerShdw blurRad="190500" sx="102000" sy="102000" algn="ctr" rotWithShape="0">
                  <a:schemeClr val="accent1">
                    <a:alpha val="40000"/>
                  </a:schemeClr>
                </a:outerShdw>
              </a:effectLst>
            </c:spPr>
            <c:extLst>
              <c:ext xmlns:c16="http://schemas.microsoft.com/office/drawing/2014/chart" uri="{C3380CC4-5D6E-409C-BE32-E72D297353CC}">
                <c16:uniqueId val="{00000009-6031-46A0-9E10-C0871D5A94F1}"/>
              </c:ext>
            </c:extLst>
          </c:dPt>
          <c:dPt>
            <c:idx val="5"/>
            <c:bubble3D val="0"/>
            <c:spPr>
              <a:solidFill>
                <a:schemeClr val="accent6"/>
              </a:solidFill>
              <a:ln w="19050">
                <a:solidFill>
                  <a:schemeClr val="bg1"/>
                </a:solidFill>
              </a:ln>
              <a:effectLst>
                <a:outerShdw blurRad="190500" sx="102000" sy="102000" algn="ctr" rotWithShape="0">
                  <a:schemeClr val="accent1">
                    <a:alpha val="40000"/>
                  </a:schemeClr>
                </a:outerShdw>
              </a:effectLst>
            </c:spPr>
            <c:extLst>
              <c:ext xmlns:c16="http://schemas.microsoft.com/office/drawing/2014/chart" uri="{C3380CC4-5D6E-409C-BE32-E72D297353CC}">
                <c16:uniqueId val="{0000000B-6031-46A0-9E10-C0871D5A94F1}"/>
              </c:ext>
            </c:extLst>
          </c:dPt>
          <c:dLbls>
            <c:dLbl>
              <c:idx val="3"/>
              <c:delete val="1"/>
              <c:extLst>
                <c:ext xmlns:c15="http://schemas.microsoft.com/office/drawing/2012/chart" uri="{CE6537A1-D6FC-4f65-9D91-7224C49458BB}"/>
                <c:ext xmlns:c16="http://schemas.microsoft.com/office/drawing/2014/chart" uri="{C3380CC4-5D6E-409C-BE32-E72D297353CC}">
                  <c16:uniqueId val="{00000007-6031-46A0-9E10-C0871D5A94F1}"/>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val>
            <c:numRef>
              <c:f>'VISITOR TYPE DISTRIBUTION'!$G$12:$G$15</c:f>
              <c:numCache>
                <c:formatCode>;;;</c:formatCode>
                <c:ptCount val="4"/>
                <c:pt idx="0">
                  <c:v>142263.86291018059</c:v>
                </c:pt>
                <c:pt idx="1">
                  <c:v>1157963.5043597082</c:v>
                </c:pt>
                <c:pt idx="2">
                  <c:v>16934.760712852767</c:v>
                </c:pt>
                <c:pt idx="3">
                  <c:v>206279.24299275398</c:v>
                </c:pt>
              </c:numCache>
            </c:numRef>
          </c:val>
          <c:extLst>
            <c:ext xmlns:c15="http://schemas.microsoft.com/office/drawing/2012/chart" uri="{02D57815-91ED-43cb-92C2-25804820EDAC}">
              <c15:filteredCategoryTitle>
                <c15:cat>
                  <c:multiLvlStrRef>
                    <c:extLst>
                      <c:ext uri="{02D57815-91ED-43cb-92C2-25804820EDAC}">
                        <c15:formulaRef>
                          <c15:sqref>'VISITOR TYPE DISTRIBUTION'!$E$12:$E$15</c15:sqref>
                        </c15:formulaRef>
                      </c:ext>
                    </c:extLst>
                  </c:multiLvlStrRef>
                </c15:cat>
              </c15:filteredCategoryTitle>
            </c:ext>
            <c:ext xmlns:c16="http://schemas.microsoft.com/office/drawing/2014/chart" uri="{C3380CC4-5D6E-409C-BE32-E72D297353CC}">
              <c16:uniqueId val="{0000000C-6031-46A0-9E10-C0871D5A94F1}"/>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9708242991365215E-2"/>
          <c:y val="4.1975042229786451E-2"/>
          <c:w val="0.86426908592947616"/>
          <c:h val="0.93437806817922353"/>
        </c:manualLayout>
      </c:layout>
      <c:pieChart>
        <c:varyColors val="1"/>
        <c:ser>
          <c:idx val="0"/>
          <c:order val="0"/>
          <c:spPr>
            <a:ln w="3175">
              <a:solidFill>
                <a:schemeClr val="tx1">
                  <a:lumMod val="50000"/>
                  <a:lumOff val="50000"/>
                </a:schemeClr>
              </a:solidFill>
            </a:ln>
            <a:effectLst>
              <a:outerShdw blurRad="190500" sx="102000" sy="102000" algn="ctr" rotWithShape="0">
                <a:schemeClr val="tx1">
                  <a:lumMod val="50000"/>
                  <a:lumOff val="50000"/>
                  <a:alpha val="40000"/>
                </a:schemeClr>
              </a:outerShdw>
            </a:effectLst>
          </c:spPr>
          <c:dPt>
            <c:idx val="0"/>
            <c:bubble3D val="0"/>
            <c:spPr>
              <a:solidFill>
                <a:srgbClr val="00B050"/>
              </a:solidFill>
              <a:ln w="6350">
                <a:solidFill>
                  <a:schemeClr val="bg1"/>
                </a:solidFill>
              </a:ln>
              <a:effectLst>
                <a:outerShdw blurRad="190500" sx="102000" sy="102000" algn="ctr" rotWithShape="0">
                  <a:schemeClr val="bg1">
                    <a:alpha val="40000"/>
                  </a:schemeClr>
                </a:outerShdw>
              </a:effectLst>
            </c:spPr>
            <c:extLst>
              <c:ext xmlns:c16="http://schemas.microsoft.com/office/drawing/2014/chart" uri="{C3380CC4-5D6E-409C-BE32-E72D297353CC}">
                <c16:uniqueId val="{00000001-F653-41A7-BF4C-158755060172}"/>
              </c:ext>
            </c:extLst>
          </c:dPt>
          <c:dPt>
            <c:idx val="1"/>
            <c:bubble3D val="0"/>
            <c:spPr>
              <a:solidFill>
                <a:srgbClr val="FFFF00"/>
              </a:solidFill>
              <a:ln w="3175">
                <a:noFill/>
              </a:ln>
              <a:effectLst>
                <a:outerShdw blurRad="190500" sx="102000" sy="102000" algn="ctr" rotWithShape="0">
                  <a:schemeClr val="tx1">
                    <a:lumMod val="50000"/>
                    <a:lumOff val="50000"/>
                    <a:alpha val="40000"/>
                  </a:schemeClr>
                </a:outerShdw>
              </a:effectLst>
            </c:spPr>
            <c:extLst>
              <c:ext xmlns:c16="http://schemas.microsoft.com/office/drawing/2014/chart" uri="{C3380CC4-5D6E-409C-BE32-E72D297353CC}">
                <c16:uniqueId val="{00000003-F653-41A7-BF4C-158755060172}"/>
              </c:ext>
            </c:extLst>
          </c:dPt>
          <c:dPt>
            <c:idx val="2"/>
            <c:bubble3D val="0"/>
            <c:spPr>
              <a:solidFill>
                <a:schemeClr val="accent3"/>
              </a:solidFill>
              <a:ln w="3175">
                <a:solidFill>
                  <a:schemeClr val="tx1">
                    <a:lumMod val="50000"/>
                    <a:lumOff val="50000"/>
                  </a:schemeClr>
                </a:solidFill>
              </a:ln>
              <a:effectLst>
                <a:outerShdw blurRad="190500" sx="102000" sy="102000" algn="ctr" rotWithShape="0">
                  <a:schemeClr val="tx1">
                    <a:lumMod val="50000"/>
                    <a:lumOff val="50000"/>
                    <a:alpha val="40000"/>
                  </a:schemeClr>
                </a:outerShdw>
              </a:effectLst>
            </c:spPr>
            <c:extLst>
              <c:ext xmlns:c16="http://schemas.microsoft.com/office/drawing/2014/chart" uri="{C3380CC4-5D6E-409C-BE32-E72D297353CC}">
                <c16:uniqueId val="{00000005-F653-41A7-BF4C-158755060172}"/>
              </c:ext>
            </c:extLst>
          </c:dPt>
          <c:dPt>
            <c:idx val="3"/>
            <c:bubble3D val="0"/>
            <c:spPr>
              <a:solidFill>
                <a:srgbClr val="00B050"/>
              </a:solidFill>
              <a:ln w="3175">
                <a:solidFill>
                  <a:schemeClr val="tx1">
                    <a:lumMod val="50000"/>
                    <a:lumOff val="50000"/>
                  </a:schemeClr>
                </a:solidFill>
              </a:ln>
              <a:effectLst>
                <a:outerShdw blurRad="190500" sx="102000" sy="102000" algn="ctr" rotWithShape="0">
                  <a:schemeClr val="tx1">
                    <a:lumMod val="50000"/>
                    <a:lumOff val="50000"/>
                    <a:alpha val="40000"/>
                  </a:schemeClr>
                </a:outerShdw>
              </a:effectLst>
            </c:spPr>
            <c:extLst>
              <c:ext xmlns:c16="http://schemas.microsoft.com/office/drawing/2014/chart" uri="{C3380CC4-5D6E-409C-BE32-E72D297353CC}">
                <c16:uniqueId val="{00000007-F653-41A7-BF4C-158755060172}"/>
              </c:ext>
            </c:extLst>
          </c:dPt>
          <c:dPt>
            <c:idx val="4"/>
            <c:bubble3D val="0"/>
            <c:spPr>
              <a:solidFill>
                <a:srgbClr val="FFFF00"/>
              </a:solidFill>
              <a:ln w="3175">
                <a:solidFill>
                  <a:schemeClr val="tx1">
                    <a:lumMod val="50000"/>
                    <a:lumOff val="50000"/>
                  </a:schemeClr>
                </a:solidFill>
              </a:ln>
              <a:effectLst>
                <a:outerShdw blurRad="190500" sx="102000" sy="102000" algn="ctr" rotWithShape="0">
                  <a:schemeClr val="tx1">
                    <a:lumMod val="50000"/>
                    <a:lumOff val="50000"/>
                    <a:alpha val="40000"/>
                  </a:schemeClr>
                </a:outerShdw>
              </a:effectLst>
            </c:spPr>
            <c:extLst>
              <c:ext xmlns:c16="http://schemas.microsoft.com/office/drawing/2014/chart" uri="{C3380CC4-5D6E-409C-BE32-E72D297353CC}">
                <c16:uniqueId val="{00000009-F653-41A7-BF4C-158755060172}"/>
              </c:ext>
            </c:extLst>
          </c:dPt>
          <c:dPt>
            <c:idx val="5"/>
            <c:bubble3D val="0"/>
            <c:spPr>
              <a:solidFill>
                <a:schemeClr val="accent6"/>
              </a:solidFill>
              <a:ln w="3175">
                <a:solidFill>
                  <a:schemeClr val="tx1">
                    <a:lumMod val="50000"/>
                    <a:lumOff val="50000"/>
                  </a:schemeClr>
                </a:solidFill>
              </a:ln>
              <a:effectLst>
                <a:outerShdw blurRad="190500" sx="102000" sy="102000" algn="ctr" rotWithShape="0">
                  <a:schemeClr val="tx1">
                    <a:lumMod val="50000"/>
                    <a:lumOff val="50000"/>
                    <a:alpha val="40000"/>
                  </a:schemeClr>
                </a:outerShdw>
              </a:effectLst>
            </c:spPr>
            <c:extLst>
              <c:ext xmlns:c16="http://schemas.microsoft.com/office/drawing/2014/chart" uri="{C3380CC4-5D6E-409C-BE32-E72D297353CC}">
                <c16:uniqueId val="{0000000B-F653-41A7-BF4C-158755060172}"/>
              </c:ext>
            </c:extLst>
          </c:dPt>
          <c:dLbls>
            <c:dLbl>
              <c:idx val="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effectLst>
                        <a:outerShdw blurRad="63500" sx="102000" sy="102000" algn="ctr" rotWithShape="0">
                          <a:prstClr val="black">
                            <a:alpha val="40000"/>
                          </a:prstClr>
                        </a:outerShdw>
                      </a:effectLst>
                      <a:latin typeface="+mn-lt"/>
                      <a:ea typeface="+mn-ea"/>
                      <a:cs typeface="+mn-cs"/>
                    </a:defRPr>
                  </a:pPr>
                  <a:endParaRPr lang="en-US"/>
                </a:p>
              </c:txPr>
              <c:dLblPos val="inEnd"/>
              <c:showLegendKey val="0"/>
              <c:showVal val="0"/>
              <c:showCatName val="0"/>
              <c:showSerName val="0"/>
              <c:showPercent val="1"/>
              <c:showBubbleSize val="0"/>
              <c:extLst>
                <c:ext xmlns:c16="http://schemas.microsoft.com/office/drawing/2014/chart" uri="{C3380CC4-5D6E-409C-BE32-E72D297353CC}">
                  <c16:uniqueId val="{00000001-F653-41A7-BF4C-158755060172}"/>
                </c:ext>
              </c:extLst>
            </c:dLbl>
            <c:dLbl>
              <c:idx val="1"/>
              <c:dLblPos val="ctr"/>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F653-41A7-BF4C-158755060172}"/>
                </c:ext>
              </c:extLst>
            </c:dLbl>
            <c:dLbl>
              <c:idx val="3"/>
              <c:dLblPos val="inEnd"/>
              <c:showLegendKey val="0"/>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7-F653-41A7-BF4C-158755060172}"/>
                </c:ext>
              </c:extLst>
            </c:dLbl>
            <c:dLbl>
              <c:idx val="4"/>
              <c:dLblPos val="inEnd"/>
              <c:showLegendKey val="0"/>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9-F653-41A7-BF4C-158755060172}"/>
                </c:ext>
              </c:extLst>
            </c:dLbl>
            <c:dLbl>
              <c:idx val="5"/>
              <c:dLblPos val="inEnd"/>
              <c:showLegendKey val="0"/>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B-F653-41A7-BF4C-158755060172}"/>
                </c:ext>
              </c:extLst>
            </c:dLbl>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1">
                        <a:lumMod val="75000"/>
                        <a:lumOff val="25000"/>
                      </a:schemeClr>
                    </a:solidFill>
                    <a:latin typeface="+mn-lt"/>
                    <a:ea typeface="+mn-ea"/>
                    <a:cs typeface="+mn-cs"/>
                  </a:defRPr>
                </a:pPr>
                <a:endParaRPr lang="en-US"/>
              </a:p>
            </c:txPr>
            <c:dLblPos val="inEnd"/>
            <c:showLegendKey val="0"/>
            <c:showVal val="0"/>
            <c:showCatName val="0"/>
            <c:showSerName val="0"/>
            <c:showPercent val="1"/>
            <c:showBubbleSize val="0"/>
            <c:showLeaderLines val="0"/>
            <c:extLst>
              <c:ext xmlns:c15="http://schemas.microsoft.com/office/drawing/2012/chart" uri="{CE6537A1-D6FC-4f65-9D91-7224C49458BB}"/>
            </c:extLst>
          </c:dLbls>
          <c:cat>
            <c:multiLvlStrRef>
              <c:f>('VISITOR TYPE DISTRIBUTION'!$E$10,'VISITOR TYPE DISTRIBUTION'!$E$11)</c:f>
            </c:multiLvlStrRef>
          </c:cat>
          <c:val>
            <c:numRef>
              <c:f>('VISITOR TYPE DISTRIBUTION'!$G$10,'VISITOR TYPE DISTRIBUTION'!$G$11)</c:f>
              <c:numCache>
                <c:formatCode>;;;</c:formatCode>
                <c:ptCount val="2"/>
                <c:pt idx="0">
                  <c:v>1317162.1279827415</c:v>
                </c:pt>
                <c:pt idx="1">
                  <c:v>206279.24299275398</c:v>
                </c:pt>
              </c:numCache>
            </c:numRef>
          </c:val>
          <c:extLst>
            <c:ext xmlns:c16="http://schemas.microsoft.com/office/drawing/2014/chart" uri="{C3380CC4-5D6E-409C-BE32-E72D297353CC}">
              <c16:uniqueId val="{0000000C-F653-41A7-BF4C-158755060172}"/>
            </c:ext>
          </c:extLst>
        </c:ser>
        <c:dLbls>
          <c:showLegendKey val="0"/>
          <c:showVal val="0"/>
          <c:showCatName val="0"/>
          <c:showSerName val="0"/>
          <c:showPercent val="0"/>
          <c:showBubbleSize val="0"/>
          <c:showLeaderLines val="0"/>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223346783314473"/>
          <c:y val="7.460896059321255E-2"/>
          <c:w val="0.73302641119019762"/>
          <c:h val="0.84579997430391129"/>
        </c:manualLayout>
      </c:layout>
      <c:pieChart>
        <c:varyColors val="1"/>
        <c:ser>
          <c:idx val="0"/>
          <c:order val="0"/>
          <c:spPr>
            <a:ln w="19050">
              <a:solidFill>
                <a:schemeClr val="bg1"/>
              </a:solidFill>
            </a:ln>
            <a:effectLst>
              <a:outerShdw blurRad="190500" sx="102000" sy="102000" algn="ctr" rotWithShape="0">
                <a:srgbClr val="00B050">
                  <a:alpha val="40000"/>
                </a:srgbClr>
              </a:outerShdw>
            </a:effectLst>
          </c:spPr>
          <c:dPt>
            <c:idx val="0"/>
            <c:bubble3D val="0"/>
            <c:spPr>
              <a:solidFill>
                <a:schemeClr val="accent3">
                  <a:lumMod val="20000"/>
                  <a:lumOff val="80000"/>
                </a:schemeClr>
              </a:solidFill>
              <a:ln w="19050">
                <a:solidFill>
                  <a:schemeClr val="bg1"/>
                </a:solidFill>
              </a:ln>
              <a:effectLst>
                <a:outerShdw blurRad="190500" sx="102000" sy="102000" algn="ctr" rotWithShape="0">
                  <a:srgbClr val="00B050">
                    <a:alpha val="40000"/>
                  </a:srgbClr>
                </a:outerShdw>
              </a:effectLst>
            </c:spPr>
            <c:extLst>
              <c:ext xmlns:c16="http://schemas.microsoft.com/office/drawing/2014/chart" uri="{C3380CC4-5D6E-409C-BE32-E72D297353CC}">
                <c16:uniqueId val="{00000001-9D3B-4821-85ED-5587D7BE0659}"/>
              </c:ext>
            </c:extLst>
          </c:dPt>
          <c:dPt>
            <c:idx val="1"/>
            <c:bubble3D val="0"/>
            <c:spPr>
              <a:solidFill>
                <a:schemeClr val="accent3">
                  <a:lumMod val="40000"/>
                  <a:lumOff val="60000"/>
                </a:schemeClr>
              </a:solidFill>
              <a:ln w="19050">
                <a:solidFill>
                  <a:schemeClr val="bg1"/>
                </a:solidFill>
              </a:ln>
              <a:effectLst>
                <a:outerShdw blurRad="190500" sx="102000" sy="102000" algn="ctr" rotWithShape="0">
                  <a:srgbClr val="00B050">
                    <a:alpha val="40000"/>
                  </a:srgbClr>
                </a:outerShdw>
              </a:effectLst>
            </c:spPr>
            <c:extLst>
              <c:ext xmlns:c16="http://schemas.microsoft.com/office/drawing/2014/chart" uri="{C3380CC4-5D6E-409C-BE32-E72D297353CC}">
                <c16:uniqueId val="{00000003-9D3B-4821-85ED-5587D7BE0659}"/>
              </c:ext>
            </c:extLst>
          </c:dPt>
          <c:dPt>
            <c:idx val="2"/>
            <c:bubble3D val="0"/>
            <c:spPr>
              <a:solidFill>
                <a:schemeClr val="accent3"/>
              </a:solidFill>
              <a:ln w="19050">
                <a:solidFill>
                  <a:schemeClr val="bg1"/>
                </a:solidFill>
              </a:ln>
              <a:effectLst>
                <a:outerShdw blurRad="190500" sx="102000" sy="102000" algn="ctr" rotWithShape="0">
                  <a:srgbClr val="00B050">
                    <a:alpha val="40000"/>
                  </a:srgbClr>
                </a:outerShdw>
              </a:effectLst>
            </c:spPr>
            <c:extLst>
              <c:ext xmlns:c16="http://schemas.microsoft.com/office/drawing/2014/chart" uri="{C3380CC4-5D6E-409C-BE32-E72D297353CC}">
                <c16:uniqueId val="{00000005-9D3B-4821-85ED-5587D7BE0659}"/>
              </c:ext>
            </c:extLst>
          </c:dPt>
          <c:dPt>
            <c:idx val="3"/>
            <c:bubble3D val="0"/>
            <c:spPr>
              <a:solidFill>
                <a:srgbClr val="FFFF00"/>
              </a:solidFill>
              <a:ln w="19050">
                <a:solidFill>
                  <a:schemeClr val="bg1"/>
                </a:solidFill>
              </a:ln>
              <a:effectLst>
                <a:outerShdw blurRad="190500" sx="102000" sy="102000" algn="ctr" rotWithShape="0">
                  <a:srgbClr val="00B050">
                    <a:alpha val="40000"/>
                  </a:srgbClr>
                </a:outerShdw>
              </a:effectLst>
            </c:spPr>
            <c:extLst>
              <c:ext xmlns:c16="http://schemas.microsoft.com/office/drawing/2014/chart" uri="{C3380CC4-5D6E-409C-BE32-E72D297353CC}">
                <c16:uniqueId val="{00000007-9D3B-4821-85ED-5587D7BE0659}"/>
              </c:ext>
            </c:extLst>
          </c:dPt>
          <c:dPt>
            <c:idx val="4"/>
            <c:bubble3D val="0"/>
            <c:spPr>
              <a:solidFill>
                <a:srgbClr val="FFFF00"/>
              </a:solidFill>
              <a:ln w="19050">
                <a:solidFill>
                  <a:schemeClr val="bg1"/>
                </a:solidFill>
              </a:ln>
              <a:effectLst>
                <a:outerShdw blurRad="190500" sx="102000" sy="102000" algn="ctr" rotWithShape="0">
                  <a:srgbClr val="00B050">
                    <a:alpha val="40000"/>
                  </a:srgbClr>
                </a:outerShdw>
              </a:effectLst>
            </c:spPr>
            <c:extLst>
              <c:ext xmlns:c16="http://schemas.microsoft.com/office/drawing/2014/chart" uri="{C3380CC4-5D6E-409C-BE32-E72D297353CC}">
                <c16:uniqueId val="{00000009-9D3B-4821-85ED-5587D7BE0659}"/>
              </c:ext>
            </c:extLst>
          </c:dPt>
          <c:dPt>
            <c:idx val="5"/>
            <c:bubble3D val="0"/>
            <c:spPr>
              <a:solidFill>
                <a:schemeClr val="accent6"/>
              </a:solidFill>
              <a:ln w="19050">
                <a:solidFill>
                  <a:schemeClr val="bg1"/>
                </a:solidFill>
              </a:ln>
              <a:effectLst>
                <a:outerShdw blurRad="190500" sx="102000" sy="102000" algn="ctr" rotWithShape="0">
                  <a:srgbClr val="00B050">
                    <a:alpha val="40000"/>
                  </a:srgbClr>
                </a:outerShdw>
              </a:effectLst>
            </c:spPr>
            <c:extLst>
              <c:ext xmlns:c16="http://schemas.microsoft.com/office/drawing/2014/chart" uri="{C3380CC4-5D6E-409C-BE32-E72D297353CC}">
                <c16:uniqueId val="{0000000B-9D3B-4821-85ED-5587D7BE0659}"/>
              </c:ext>
            </c:extLst>
          </c:dPt>
          <c:dLbls>
            <c:dLbl>
              <c:idx val="0"/>
              <c:layout>
                <c:manualLayout>
                  <c:x val="-3.206627366544651E-2"/>
                  <c:y val="0"/>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9D3B-4821-85ED-5587D7BE0659}"/>
                </c:ext>
              </c:extLst>
            </c:dLbl>
            <c:dLbl>
              <c:idx val="1"/>
              <c:layout>
                <c:manualLayout>
                  <c:x val="8.0165684163616274E-3"/>
                  <c:y val="0"/>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9D3B-4821-85ED-5587D7BE0659}"/>
                </c:ext>
              </c:extLst>
            </c:dLbl>
            <c:dLbl>
              <c:idx val="2"/>
              <c:layout>
                <c:manualLayout>
                  <c:x val="2.8057989457265769E-2"/>
                  <c:y val="0"/>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5-9D3B-4821-85ED-5587D7BE0659}"/>
                </c:ext>
              </c:extLst>
            </c:dLbl>
            <c:dLbl>
              <c:idx val="3"/>
              <c:delete val="1"/>
              <c:extLst>
                <c:ext xmlns:c15="http://schemas.microsoft.com/office/drawing/2012/chart" uri="{CE6537A1-D6FC-4f65-9D91-7224C49458BB}"/>
                <c:ext xmlns:c16="http://schemas.microsoft.com/office/drawing/2014/chart" uri="{C3380CC4-5D6E-409C-BE32-E72D297353CC}">
                  <c16:uniqueId val="{00000007-9D3B-4821-85ED-5587D7BE0659}"/>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0"/>
            <c:showCatName val="0"/>
            <c:showSerName val="0"/>
            <c:showPercent val="1"/>
            <c:showBubbleSize val="0"/>
            <c:showLeaderLines val="0"/>
            <c:extLst>
              <c:ext xmlns:c15="http://schemas.microsoft.com/office/drawing/2012/chart" uri="{CE6537A1-D6FC-4f65-9D91-7224C49458BB}"/>
            </c:extLst>
          </c:dLbls>
          <c:val>
            <c:numRef>
              <c:f>'VISITOR TYPE DISTRIBUTION'!$I$12:$I$15</c:f>
              <c:numCache>
                <c:formatCode>;;;</c:formatCode>
                <c:ptCount val="4"/>
                <c:pt idx="0">
                  <c:v>676.60965910293658</c:v>
                </c:pt>
                <c:pt idx="1">
                  <c:v>3256.0645092353548</c:v>
                </c:pt>
                <c:pt idx="2">
                  <c:v>180.81238254545451</c:v>
                </c:pt>
                <c:pt idx="3">
                  <c:v>3768.8173242507069</c:v>
                </c:pt>
              </c:numCache>
            </c:numRef>
          </c:val>
          <c:extLst>
            <c:ext xmlns:c15="http://schemas.microsoft.com/office/drawing/2012/chart" uri="{02D57815-91ED-43cb-92C2-25804820EDAC}">
              <c15:filteredCategoryTitle>
                <c15:cat>
                  <c:multiLvlStrRef>
                    <c:extLst>
                      <c:ext uri="{02D57815-91ED-43cb-92C2-25804820EDAC}">
                        <c15:formulaRef>
                          <c15:sqref>'VISITOR TYPE DISTRIBUTION'!$E$12:$E$15</c15:sqref>
                        </c15:formulaRef>
                      </c:ext>
                    </c:extLst>
                  </c:multiLvlStrRef>
                </c15:cat>
              </c15:filteredCategoryTitle>
            </c:ext>
            <c:ext xmlns:c16="http://schemas.microsoft.com/office/drawing/2014/chart" uri="{C3380CC4-5D6E-409C-BE32-E72D297353CC}">
              <c16:uniqueId val="{0000000C-9D3B-4821-85ED-5587D7BE0659}"/>
            </c:ext>
          </c:extLst>
        </c:ser>
        <c:dLbls>
          <c:showLegendKey val="0"/>
          <c:showVal val="0"/>
          <c:showCatName val="0"/>
          <c:showSerName val="0"/>
          <c:showPercent val="0"/>
          <c:showBubbleSize val="0"/>
          <c:showLeaderLines val="0"/>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9708242991365215E-2"/>
          <c:y val="4.1975042229786451E-2"/>
          <c:w val="0.86426908592947616"/>
          <c:h val="0.93437806817922353"/>
        </c:manualLayout>
      </c:layout>
      <c:pieChart>
        <c:varyColors val="1"/>
        <c:ser>
          <c:idx val="0"/>
          <c:order val="0"/>
          <c:spPr>
            <a:ln w="3175">
              <a:solidFill>
                <a:schemeClr val="tx1">
                  <a:lumMod val="50000"/>
                  <a:lumOff val="50000"/>
                </a:schemeClr>
              </a:solidFill>
            </a:ln>
            <a:effectLst>
              <a:outerShdw blurRad="190500" sx="102000" sy="102000" algn="ctr" rotWithShape="0">
                <a:schemeClr val="tx1">
                  <a:lumMod val="50000"/>
                  <a:lumOff val="50000"/>
                  <a:alpha val="40000"/>
                </a:schemeClr>
              </a:outerShdw>
            </a:effectLst>
          </c:spPr>
          <c:dPt>
            <c:idx val="0"/>
            <c:bubble3D val="0"/>
            <c:spPr>
              <a:solidFill>
                <a:srgbClr val="00B050"/>
              </a:solidFill>
              <a:ln w="6350">
                <a:solidFill>
                  <a:schemeClr val="bg1"/>
                </a:solidFill>
              </a:ln>
              <a:effectLst>
                <a:outerShdw blurRad="190500" sx="102000" sy="102000" algn="ctr" rotWithShape="0">
                  <a:schemeClr val="bg1">
                    <a:alpha val="40000"/>
                  </a:schemeClr>
                </a:outerShdw>
              </a:effectLst>
            </c:spPr>
            <c:extLst>
              <c:ext xmlns:c16="http://schemas.microsoft.com/office/drawing/2014/chart" uri="{C3380CC4-5D6E-409C-BE32-E72D297353CC}">
                <c16:uniqueId val="{00000001-4214-4E7A-B6C1-D948995C6A72}"/>
              </c:ext>
            </c:extLst>
          </c:dPt>
          <c:dPt>
            <c:idx val="1"/>
            <c:bubble3D val="0"/>
            <c:spPr>
              <a:solidFill>
                <a:srgbClr val="FFFF00"/>
              </a:solidFill>
              <a:ln w="3175">
                <a:noFill/>
              </a:ln>
              <a:effectLst>
                <a:outerShdw blurRad="190500" sx="102000" sy="102000" algn="ctr" rotWithShape="0">
                  <a:schemeClr val="tx1">
                    <a:lumMod val="50000"/>
                    <a:lumOff val="50000"/>
                    <a:alpha val="40000"/>
                  </a:schemeClr>
                </a:outerShdw>
              </a:effectLst>
            </c:spPr>
            <c:extLst>
              <c:ext xmlns:c16="http://schemas.microsoft.com/office/drawing/2014/chart" uri="{C3380CC4-5D6E-409C-BE32-E72D297353CC}">
                <c16:uniqueId val="{00000003-4214-4E7A-B6C1-D948995C6A72}"/>
              </c:ext>
            </c:extLst>
          </c:dPt>
          <c:dPt>
            <c:idx val="2"/>
            <c:bubble3D val="0"/>
            <c:spPr>
              <a:solidFill>
                <a:schemeClr val="accent3"/>
              </a:solidFill>
              <a:ln w="3175">
                <a:solidFill>
                  <a:schemeClr val="tx1">
                    <a:lumMod val="50000"/>
                    <a:lumOff val="50000"/>
                  </a:schemeClr>
                </a:solidFill>
              </a:ln>
              <a:effectLst>
                <a:outerShdw blurRad="190500" sx="102000" sy="102000" algn="ctr" rotWithShape="0">
                  <a:schemeClr val="tx1">
                    <a:lumMod val="50000"/>
                    <a:lumOff val="50000"/>
                    <a:alpha val="40000"/>
                  </a:schemeClr>
                </a:outerShdw>
              </a:effectLst>
            </c:spPr>
            <c:extLst>
              <c:ext xmlns:c16="http://schemas.microsoft.com/office/drawing/2014/chart" uri="{C3380CC4-5D6E-409C-BE32-E72D297353CC}">
                <c16:uniqueId val="{00000005-4214-4E7A-B6C1-D948995C6A72}"/>
              </c:ext>
            </c:extLst>
          </c:dPt>
          <c:dPt>
            <c:idx val="3"/>
            <c:bubble3D val="0"/>
            <c:spPr>
              <a:solidFill>
                <a:srgbClr val="00B050"/>
              </a:solidFill>
              <a:ln w="3175">
                <a:solidFill>
                  <a:schemeClr val="tx1">
                    <a:lumMod val="50000"/>
                    <a:lumOff val="50000"/>
                  </a:schemeClr>
                </a:solidFill>
              </a:ln>
              <a:effectLst>
                <a:outerShdw blurRad="190500" sx="102000" sy="102000" algn="ctr" rotWithShape="0">
                  <a:schemeClr val="tx1">
                    <a:lumMod val="50000"/>
                    <a:lumOff val="50000"/>
                    <a:alpha val="40000"/>
                  </a:schemeClr>
                </a:outerShdw>
              </a:effectLst>
            </c:spPr>
            <c:extLst>
              <c:ext xmlns:c16="http://schemas.microsoft.com/office/drawing/2014/chart" uri="{C3380CC4-5D6E-409C-BE32-E72D297353CC}">
                <c16:uniqueId val="{00000007-4214-4E7A-B6C1-D948995C6A72}"/>
              </c:ext>
            </c:extLst>
          </c:dPt>
          <c:dPt>
            <c:idx val="4"/>
            <c:bubble3D val="0"/>
            <c:spPr>
              <a:solidFill>
                <a:srgbClr val="FFFF00"/>
              </a:solidFill>
              <a:ln w="3175">
                <a:solidFill>
                  <a:schemeClr val="tx1">
                    <a:lumMod val="50000"/>
                    <a:lumOff val="50000"/>
                  </a:schemeClr>
                </a:solidFill>
              </a:ln>
              <a:effectLst>
                <a:outerShdw blurRad="190500" sx="102000" sy="102000" algn="ctr" rotWithShape="0">
                  <a:schemeClr val="tx1">
                    <a:lumMod val="50000"/>
                    <a:lumOff val="50000"/>
                    <a:alpha val="40000"/>
                  </a:schemeClr>
                </a:outerShdw>
              </a:effectLst>
            </c:spPr>
            <c:extLst>
              <c:ext xmlns:c16="http://schemas.microsoft.com/office/drawing/2014/chart" uri="{C3380CC4-5D6E-409C-BE32-E72D297353CC}">
                <c16:uniqueId val="{00000009-4214-4E7A-B6C1-D948995C6A72}"/>
              </c:ext>
            </c:extLst>
          </c:dPt>
          <c:dPt>
            <c:idx val="5"/>
            <c:bubble3D val="0"/>
            <c:spPr>
              <a:solidFill>
                <a:schemeClr val="accent6"/>
              </a:solidFill>
              <a:ln w="3175">
                <a:solidFill>
                  <a:schemeClr val="tx1">
                    <a:lumMod val="50000"/>
                    <a:lumOff val="50000"/>
                  </a:schemeClr>
                </a:solidFill>
              </a:ln>
              <a:effectLst>
                <a:outerShdw blurRad="190500" sx="102000" sy="102000" algn="ctr" rotWithShape="0">
                  <a:schemeClr val="tx1">
                    <a:lumMod val="50000"/>
                    <a:lumOff val="50000"/>
                    <a:alpha val="40000"/>
                  </a:schemeClr>
                </a:outerShdw>
              </a:effectLst>
            </c:spPr>
            <c:extLst>
              <c:ext xmlns:c16="http://schemas.microsoft.com/office/drawing/2014/chart" uri="{C3380CC4-5D6E-409C-BE32-E72D297353CC}">
                <c16:uniqueId val="{0000000B-4214-4E7A-B6C1-D948995C6A72}"/>
              </c:ext>
            </c:extLst>
          </c:dPt>
          <c:dLbls>
            <c:dLbl>
              <c:idx val="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effectLst>
                        <a:outerShdw blurRad="63500" sx="102000" sy="102000" algn="ctr" rotWithShape="0">
                          <a:prstClr val="black">
                            <a:alpha val="40000"/>
                          </a:prstClr>
                        </a:outerShdw>
                      </a:effectLst>
                      <a:latin typeface="+mn-lt"/>
                      <a:ea typeface="+mn-ea"/>
                      <a:cs typeface="+mn-cs"/>
                    </a:defRPr>
                  </a:pPr>
                  <a:endParaRPr lang="en-US"/>
                </a:p>
              </c:txPr>
              <c:dLblPos val="inEnd"/>
              <c:showLegendKey val="0"/>
              <c:showVal val="0"/>
              <c:showCatName val="0"/>
              <c:showSerName val="0"/>
              <c:showPercent val="1"/>
              <c:showBubbleSize val="0"/>
              <c:extLst>
                <c:ext xmlns:c16="http://schemas.microsoft.com/office/drawing/2014/chart" uri="{C3380CC4-5D6E-409C-BE32-E72D297353CC}">
                  <c16:uniqueId val="{00000001-4214-4E7A-B6C1-D948995C6A72}"/>
                </c:ext>
              </c:extLst>
            </c:dLbl>
            <c:dLbl>
              <c:idx val="1"/>
              <c:dLblPos val="ctr"/>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4214-4E7A-B6C1-D948995C6A72}"/>
                </c:ext>
              </c:extLst>
            </c:dLbl>
            <c:dLbl>
              <c:idx val="3"/>
              <c:dLblPos val="inEnd"/>
              <c:showLegendKey val="0"/>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7-4214-4E7A-B6C1-D948995C6A72}"/>
                </c:ext>
              </c:extLst>
            </c:dLbl>
            <c:dLbl>
              <c:idx val="4"/>
              <c:dLblPos val="inEnd"/>
              <c:showLegendKey val="0"/>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9-4214-4E7A-B6C1-D948995C6A72}"/>
                </c:ext>
              </c:extLst>
            </c:dLbl>
            <c:dLbl>
              <c:idx val="5"/>
              <c:dLblPos val="inEnd"/>
              <c:showLegendKey val="0"/>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B-4214-4E7A-B6C1-D948995C6A72}"/>
                </c:ext>
              </c:extLst>
            </c:dLbl>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1">
                        <a:lumMod val="75000"/>
                        <a:lumOff val="25000"/>
                      </a:schemeClr>
                    </a:solidFill>
                    <a:latin typeface="+mn-lt"/>
                    <a:ea typeface="+mn-ea"/>
                    <a:cs typeface="+mn-cs"/>
                  </a:defRPr>
                </a:pPr>
                <a:endParaRPr lang="en-US"/>
              </a:p>
            </c:txPr>
            <c:dLblPos val="inEnd"/>
            <c:showLegendKey val="0"/>
            <c:showVal val="0"/>
            <c:showCatName val="0"/>
            <c:showSerName val="0"/>
            <c:showPercent val="1"/>
            <c:showBubbleSize val="0"/>
            <c:showLeaderLines val="0"/>
            <c:extLst>
              <c:ext xmlns:c15="http://schemas.microsoft.com/office/drawing/2012/chart" uri="{CE6537A1-D6FC-4f65-9D91-7224C49458BB}"/>
            </c:extLst>
          </c:dLbls>
          <c:cat>
            <c:multiLvlStrRef>
              <c:f>('VISITOR TYPE DISTRIBUTION'!$E$10,'VISITOR TYPE DISTRIBUTION'!$E$11)</c:f>
            </c:multiLvlStrRef>
          </c:cat>
          <c:val>
            <c:numRef>
              <c:f>('VISITOR TYPE DISTRIBUTION'!$I$10,'VISITOR TYPE DISTRIBUTION'!$I$11)</c:f>
              <c:numCache>
                <c:formatCode>;;;</c:formatCode>
                <c:ptCount val="2"/>
                <c:pt idx="0">
                  <c:v>4113.4865508837465</c:v>
                </c:pt>
                <c:pt idx="1">
                  <c:v>3768.8173242507069</c:v>
                </c:pt>
              </c:numCache>
            </c:numRef>
          </c:val>
          <c:extLst>
            <c:ext xmlns:c16="http://schemas.microsoft.com/office/drawing/2014/chart" uri="{C3380CC4-5D6E-409C-BE32-E72D297353CC}">
              <c16:uniqueId val="{0000000C-4214-4E7A-B6C1-D948995C6A72}"/>
            </c:ext>
          </c:extLst>
        </c:ser>
        <c:dLbls>
          <c:showLegendKey val="0"/>
          <c:showVal val="0"/>
          <c:showCatName val="0"/>
          <c:showSerName val="0"/>
          <c:showPercent val="0"/>
          <c:showBubbleSize val="0"/>
          <c:showLeaderLines val="0"/>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223346783314473"/>
          <c:y val="7.460896059321255E-2"/>
          <c:w val="0.73302641119019762"/>
          <c:h val="0.84579997430391129"/>
        </c:manualLayout>
      </c:layout>
      <c:pieChart>
        <c:varyColors val="1"/>
        <c:ser>
          <c:idx val="0"/>
          <c:order val="0"/>
          <c:spPr>
            <a:ln w="19050">
              <a:solidFill>
                <a:schemeClr val="bg1"/>
              </a:solidFill>
            </a:ln>
            <a:effectLst>
              <a:outerShdw blurRad="190500" sx="102000" sy="102000" algn="ctr" rotWithShape="0">
                <a:srgbClr val="FF0000">
                  <a:alpha val="40000"/>
                </a:srgbClr>
              </a:outerShdw>
            </a:effectLst>
          </c:spPr>
          <c:dPt>
            <c:idx val="0"/>
            <c:bubble3D val="0"/>
            <c:spPr>
              <a:solidFill>
                <a:schemeClr val="accent3">
                  <a:lumMod val="20000"/>
                  <a:lumOff val="80000"/>
                </a:schemeClr>
              </a:solidFill>
              <a:ln w="19050">
                <a:solidFill>
                  <a:schemeClr val="bg1"/>
                </a:solidFill>
              </a:ln>
              <a:effectLst>
                <a:outerShdw blurRad="190500" sx="102000" sy="102000" algn="ctr" rotWithShape="0">
                  <a:srgbClr val="FF0000">
                    <a:alpha val="40000"/>
                  </a:srgbClr>
                </a:outerShdw>
              </a:effectLst>
            </c:spPr>
            <c:extLst>
              <c:ext xmlns:c16="http://schemas.microsoft.com/office/drawing/2014/chart" uri="{C3380CC4-5D6E-409C-BE32-E72D297353CC}">
                <c16:uniqueId val="{00000001-053D-4EDA-B783-48CBDEFEBF40}"/>
              </c:ext>
            </c:extLst>
          </c:dPt>
          <c:dPt>
            <c:idx val="1"/>
            <c:bubble3D val="0"/>
            <c:spPr>
              <a:solidFill>
                <a:schemeClr val="accent3">
                  <a:lumMod val="40000"/>
                  <a:lumOff val="60000"/>
                </a:schemeClr>
              </a:solidFill>
              <a:ln w="19050">
                <a:solidFill>
                  <a:schemeClr val="bg1"/>
                </a:solidFill>
              </a:ln>
              <a:effectLst>
                <a:outerShdw blurRad="190500" sx="102000" sy="102000" algn="ctr" rotWithShape="0">
                  <a:srgbClr val="FF0000">
                    <a:alpha val="40000"/>
                  </a:srgbClr>
                </a:outerShdw>
              </a:effectLst>
            </c:spPr>
            <c:extLst>
              <c:ext xmlns:c16="http://schemas.microsoft.com/office/drawing/2014/chart" uri="{C3380CC4-5D6E-409C-BE32-E72D297353CC}">
                <c16:uniqueId val="{00000003-053D-4EDA-B783-48CBDEFEBF40}"/>
              </c:ext>
            </c:extLst>
          </c:dPt>
          <c:dPt>
            <c:idx val="2"/>
            <c:bubble3D val="0"/>
            <c:spPr>
              <a:solidFill>
                <a:schemeClr val="accent3"/>
              </a:solidFill>
              <a:ln w="19050">
                <a:solidFill>
                  <a:schemeClr val="bg1"/>
                </a:solidFill>
              </a:ln>
              <a:effectLst>
                <a:outerShdw blurRad="190500" sx="102000" sy="102000" algn="ctr" rotWithShape="0">
                  <a:srgbClr val="FF0000">
                    <a:alpha val="40000"/>
                  </a:srgbClr>
                </a:outerShdw>
              </a:effectLst>
            </c:spPr>
            <c:extLst>
              <c:ext xmlns:c16="http://schemas.microsoft.com/office/drawing/2014/chart" uri="{C3380CC4-5D6E-409C-BE32-E72D297353CC}">
                <c16:uniqueId val="{00000005-053D-4EDA-B783-48CBDEFEBF40}"/>
              </c:ext>
            </c:extLst>
          </c:dPt>
          <c:dPt>
            <c:idx val="3"/>
            <c:bubble3D val="0"/>
            <c:spPr>
              <a:solidFill>
                <a:srgbClr val="FFFF00"/>
              </a:solidFill>
              <a:ln w="19050">
                <a:solidFill>
                  <a:schemeClr val="bg1"/>
                </a:solidFill>
              </a:ln>
              <a:effectLst>
                <a:outerShdw blurRad="190500" sx="102000" sy="102000" algn="ctr" rotWithShape="0">
                  <a:srgbClr val="FF0000">
                    <a:alpha val="40000"/>
                  </a:srgbClr>
                </a:outerShdw>
              </a:effectLst>
            </c:spPr>
            <c:extLst>
              <c:ext xmlns:c16="http://schemas.microsoft.com/office/drawing/2014/chart" uri="{C3380CC4-5D6E-409C-BE32-E72D297353CC}">
                <c16:uniqueId val="{00000007-053D-4EDA-B783-48CBDEFEBF40}"/>
              </c:ext>
            </c:extLst>
          </c:dPt>
          <c:dPt>
            <c:idx val="4"/>
            <c:bubble3D val="0"/>
            <c:spPr>
              <a:solidFill>
                <a:srgbClr val="FFFF00"/>
              </a:solidFill>
              <a:ln w="19050">
                <a:solidFill>
                  <a:schemeClr val="bg1"/>
                </a:solidFill>
              </a:ln>
              <a:effectLst>
                <a:outerShdw blurRad="190500" sx="102000" sy="102000" algn="ctr" rotWithShape="0">
                  <a:srgbClr val="FF0000">
                    <a:alpha val="40000"/>
                  </a:srgbClr>
                </a:outerShdw>
              </a:effectLst>
            </c:spPr>
            <c:extLst>
              <c:ext xmlns:c16="http://schemas.microsoft.com/office/drawing/2014/chart" uri="{C3380CC4-5D6E-409C-BE32-E72D297353CC}">
                <c16:uniqueId val="{00000009-053D-4EDA-B783-48CBDEFEBF40}"/>
              </c:ext>
            </c:extLst>
          </c:dPt>
          <c:dPt>
            <c:idx val="5"/>
            <c:bubble3D val="0"/>
            <c:spPr>
              <a:solidFill>
                <a:schemeClr val="accent6"/>
              </a:solidFill>
              <a:ln w="19050">
                <a:solidFill>
                  <a:schemeClr val="bg1"/>
                </a:solidFill>
              </a:ln>
              <a:effectLst>
                <a:outerShdw blurRad="190500" sx="102000" sy="102000" algn="ctr" rotWithShape="0">
                  <a:srgbClr val="FF0000">
                    <a:alpha val="40000"/>
                  </a:srgbClr>
                </a:outerShdw>
              </a:effectLst>
            </c:spPr>
            <c:extLst>
              <c:ext xmlns:c16="http://schemas.microsoft.com/office/drawing/2014/chart" uri="{C3380CC4-5D6E-409C-BE32-E72D297353CC}">
                <c16:uniqueId val="{0000000B-053D-4EDA-B783-48CBDEFEBF40}"/>
              </c:ext>
            </c:extLst>
          </c:dPt>
          <c:dLbls>
            <c:dLbl>
              <c:idx val="1"/>
              <c:layout>
                <c:manualLayout>
                  <c:x val="4.1052588365695702E-3"/>
                  <c:y val="9.9502448582893185E-3"/>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053D-4EDA-B783-48CBDEFEBF40}"/>
                </c:ext>
              </c:extLst>
            </c:dLbl>
            <c:dLbl>
              <c:idx val="2"/>
              <c:layout>
                <c:manualLayout>
                  <c:x val="1.2315776509708937E-2"/>
                  <c:y val="1.990048971657863E-2"/>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5-053D-4EDA-B783-48CBDEFEBF40}"/>
                </c:ext>
              </c:extLst>
            </c:dLbl>
            <c:dLbl>
              <c:idx val="3"/>
              <c:delete val="1"/>
              <c:extLst>
                <c:ext xmlns:c15="http://schemas.microsoft.com/office/drawing/2012/chart" uri="{CE6537A1-D6FC-4f65-9D91-7224C49458BB}"/>
                <c:ext xmlns:c16="http://schemas.microsoft.com/office/drawing/2014/chart" uri="{C3380CC4-5D6E-409C-BE32-E72D297353CC}">
                  <c16:uniqueId val="{00000007-053D-4EDA-B783-48CBDEFEBF40}"/>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0"/>
            <c:showCatName val="0"/>
            <c:showSerName val="0"/>
            <c:showPercent val="1"/>
            <c:showBubbleSize val="0"/>
            <c:showLeaderLines val="0"/>
            <c:extLst>
              <c:ext xmlns:c15="http://schemas.microsoft.com/office/drawing/2012/chart" uri="{CE6537A1-D6FC-4f65-9D91-7224C49458BB}"/>
            </c:extLst>
          </c:dLbls>
          <c:val>
            <c:numRef>
              <c:f>'VISITOR TYPE DISTRIBUTION'!$H$12:$H$15</c:f>
              <c:numCache>
                <c:formatCode>;;;</c:formatCode>
                <c:ptCount val="4"/>
                <c:pt idx="0">
                  <c:v>1206.5322566246423</c:v>
                </c:pt>
                <c:pt idx="1">
                  <c:v>18774.503365224438</c:v>
                </c:pt>
                <c:pt idx="2">
                  <c:v>430.46129179636364</c:v>
                </c:pt>
                <c:pt idx="3">
                  <c:v>3768.8173242507069</c:v>
                </c:pt>
              </c:numCache>
            </c:numRef>
          </c:val>
          <c:extLst>
            <c:ext xmlns:c15="http://schemas.microsoft.com/office/drawing/2012/chart" uri="{02D57815-91ED-43cb-92C2-25804820EDAC}">
              <c15:filteredCategoryTitle>
                <c15:cat>
                  <c:multiLvlStrRef>
                    <c:extLst>
                      <c:ext uri="{02D57815-91ED-43cb-92C2-25804820EDAC}">
                        <c15:formulaRef>
                          <c15:sqref>'VISITOR TYPE DISTRIBUTION'!$E$12:$E$15</c15:sqref>
                        </c15:formulaRef>
                      </c:ext>
                    </c:extLst>
                  </c:multiLvlStrRef>
                </c15:cat>
              </c15:filteredCategoryTitle>
            </c:ext>
            <c:ext xmlns:c16="http://schemas.microsoft.com/office/drawing/2014/chart" uri="{C3380CC4-5D6E-409C-BE32-E72D297353CC}">
              <c16:uniqueId val="{0000000C-053D-4EDA-B783-48CBDEFEBF40}"/>
            </c:ext>
          </c:extLst>
        </c:ser>
        <c:dLbls>
          <c:showLegendKey val="0"/>
          <c:showVal val="0"/>
          <c:showCatName val="0"/>
          <c:showSerName val="0"/>
          <c:showPercent val="0"/>
          <c:showBubbleSize val="0"/>
          <c:showLeaderLines val="0"/>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9708242991365215E-2"/>
          <c:y val="4.1975042229786451E-2"/>
          <c:w val="0.86426908592947616"/>
          <c:h val="0.93437806817922353"/>
        </c:manualLayout>
      </c:layout>
      <c:pieChart>
        <c:varyColors val="1"/>
        <c:ser>
          <c:idx val="0"/>
          <c:order val="0"/>
          <c:spPr>
            <a:ln w="3175">
              <a:solidFill>
                <a:schemeClr val="tx1">
                  <a:lumMod val="50000"/>
                  <a:lumOff val="50000"/>
                </a:schemeClr>
              </a:solidFill>
            </a:ln>
            <a:effectLst>
              <a:outerShdw blurRad="190500" sx="102000" sy="102000" algn="ctr" rotWithShape="0">
                <a:schemeClr val="tx1">
                  <a:lumMod val="50000"/>
                  <a:lumOff val="50000"/>
                  <a:alpha val="40000"/>
                </a:schemeClr>
              </a:outerShdw>
            </a:effectLst>
          </c:spPr>
          <c:dPt>
            <c:idx val="0"/>
            <c:bubble3D val="0"/>
            <c:spPr>
              <a:solidFill>
                <a:srgbClr val="00B050"/>
              </a:solidFill>
              <a:ln w="6350">
                <a:solidFill>
                  <a:schemeClr val="bg1"/>
                </a:solidFill>
              </a:ln>
              <a:effectLst>
                <a:outerShdw blurRad="190500" sx="102000" sy="102000" algn="ctr" rotWithShape="0">
                  <a:schemeClr val="bg1">
                    <a:alpha val="40000"/>
                  </a:schemeClr>
                </a:outerShdw>
              </a:effectLst>
            </c:spPr>
            <c:extLst>
              <c:ext xmlns:c16="http://schemas.microsoft.com/office/drawing/2014/chart" uri="{C3380CC4-5D6E-409C-BE32-E72D297353CC}">
                <c16:uniqueId val="{00000001-9EA4-4BA9-8E0A-806BF274FEC9}"/>
              </c:ext>
            </c:extLst>
          </c:dPt>
          <c:dPt>
            <c:idx val="1"/>
            <c:bubble3D val="0"/>
            <c:spPr>
              <a:solidFill>
                <a:srgbClr val="FFFF00"/>
              </a:solidFill>
              <a:ln w="3175">
                <a:noFill/>
              </a:ln>
              <a:effectLst>
                <a:outerShdw blurRad="190500" sx="102000" sy="102000" algn="ctr" rotWithShape="0">
                  <a:schemeClr val="tx1">
                    <a:lumMod val="50000"/>
                    <a:lumOff val="50000"/>
                    <a:alpha val="40000"/>
                  </a:schemeClr>
                </a:outerShdw>
              </a:effectLst>
            </c:spPr>
            <c:extLst>
              <c:ext xmlns:c16="http://schemas.microsoft.com/office/drawing/2014/chart" uri="{C3380CC4-5D6E-409C-BE32-E72D297353CC}">
                <c16:uniqueId val="{00000003-9EA4-4BA9-8E0A-806BF274FEC9}"/>
              </c:ext>
            </c:extLst>
          </c:dPt>
          <c:dPt>
            <c:idx val="2"/>
            <c:bubble3D val="0"/>
            <c:spPr>
              <a:solidFill>
                <a:schemeClr val="accent3"/>
              </a:solidFill>
              <a:ln w="3175">
                <a:solidFill>
                  <a:schemeClr val="tx1">
                    <a:lumMod val="50000"/>
                    <a:lumOff val="50000"/>
                  </a:schemeClr>
                </a:solidFill>
              </a:ln>
              <a:effectLst>
                <a:outerShdw blurRad="190500" sx="102000" sy="102000" algn="ctr" rotWithShape="0">
                  <a:schemeClr val="tx1">
                    <a:lumMod val="50000"/>
                    <a:lumOff val="50000"/>
                    <a:alpha val="40000"/>
                  </a:schemeClr>
                </a:outerShdw>
              </a:effectLst>
            </c:spPr>
            <c:extLst>
              <c:ext xmlns:c16="http://schemas.microsoft.com/office/drawing/2014/chart" uri="{C3380CC4-5D6E-409C-BE32-E72D297353CC}">
                <c16:uniqueId val="{00000005-9EA4-4BA9-8E0A-806BF274FEC9}"/>
              </c:ext>
            </c:extLst>
          </c:dPt>
          <c:dPt>
            <c:idx val="3"/>
            <c:bubble3D val="0"/>
            <c:spPr>
              <a:solidFill>
                <a:srgbClr val="00B050"/>
              </a:solidFill>
              <a:ln w="3175">
                <a:solidFill>
                  <a:schemeClr val="tx1">
                    <a:lumMod val="50000"/>
                    <a:lumOff val="50000"/>
                  </a:schemeClr>
                </a:solidFill>
              </a:ln>
              <a:effectLst>
                <a:outerShdw blurRad="190500" sx="102000" sy="102000" algn="ctr" rotWithShape="0">
                  <a:schemeClr val="tx1">
                    <a:lumMod val="50000"/>
                    <a:lumOff val="50000"/>
                    <a:alpha val="40000"/>
                  </a:schemeClr>
                </a:outerShdw>
              </a:effectLst>
            </c:spPr>
            <c:extLst>
              <c:ext xmlns:c16="http://schemas.microsoft.com/office/drawing/2014/chart" uri="{C3380CC4-5D6E-409C-BE32-E72D297353CC}">
                <c16:uniqueId val="{00000007-9EA4-4BA9-8E0A-806BF274FEC9}"/>
              </c:ext>
            </c:extLst>
          </c:dPt>
          <c:dPt>
            <c:idx val="4"/>
            <c:bubble3D val="0"/>
            <c:spPr>
              <a:solidFill>
                <a:srgbClr val="FFFF00"/>
              </a:solidFill>
              <a:ln w="3175">
                <a:solidFill>
                  <a:schemeClr val="tx1">
                    <a:lumMod val="50000"/>
                    <a:lumOff val="50000"/>
                  </a:schemeClr>
                </a:solidFill>
              </a:ln>
              <a:effectLst>
                <a:outerShdw blurRad="190500" sx="102000" sy="102000" algn="ctr" rotWithShape="0">
                  <a:schemeClr val="tx1">
                    <a:lumMod val="50000"/>
                    <a:lumOff val="50000"/>
                    <a:alpha val="40000"/>
                  </a:schemeClr>
                </a:outerShdw>
              </a:effectLst>
            </c:spPr>
            <c:extLst>
              <c:ext xmlns:c16="http://schemas.microsoft.com/office/drawing/2014/chart" uri="{C3380CC4-5D6E-409C-BE32-E72D297353CC}">
                <c16:uniqueId val="{00000009-9EA4-4BA9-8E0A-806BF274FEC9}"/>
              </c:ext>
            </c:extLst>
          </c:dPt>
          <c:dPt>
            <c:idx val="5"/>
            <c:bubble3D val="0"/>
            <c:spPr>
              <a:solidFill>
                <a:schemeClr val="accent6"/>
              </a:solidFill>
              <a:ln w="3175">
                <a:solidFill>
                  <a:schemeClr val="tx1">
                    <a:lumMod val="50000"/>
                    <a:lumOff val="50000"/>
                  </a:schemeClr>
                </a:solidFill>
              </a:ln>
              <a:effectLst>
                <a:outerShdw blurRad="190500" sx="102000" sy="102000" algn="ctr" rotWithShape="0">
                  <a:schemeClr val="tx1">
                    <a:lumMod val="50000"/>
                    <a:lumOff val="50000"/>
                    <a:alpha val="40000"/>
                  </a:schemeClr>
                </a:outerShdw>
              </a:effectLst>
            </c:spPr>
            <c:extLst>
              <c:ext xmlns:c16="http://schemas.microsoft.com/office/drawing/2014/chart" uri="{C3380CC4-5D6E-409C-BE32-E72D297353CC}">
                <c16:uniqueId val="{0000000B-9EA4-4BA9-8E0A-806BF274FEC9}"/>
              </c:ext>
            </c:extLst>
          </c:dPt>
          <c:dLbls>
            <c:dLbl>
              <c:idx val="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effectLst>
                        <a:outerShdw blurRad="63500" sx="102000" sy="102000" algn="ctr" rotWithShape="0">
                          <a:prstClr val="black">
                            <a:alpha val="40000"/>
                          </a:prstClr>
                        </a:outerShdw>
                      </a:effectLst>
                      <a:latin typeface="+mn-lt"/>
                      <a:ea typeface="+mn-ea"/>
                      <a:cs typeface="+mn-cs"/>
                    </a:defRPr>
                  </a:pPr>
                  <a:endParaRPr lang="en-US"/>
                </a:p>
              </c:txPr>
              <c:dLblPos val="inEnd"/>
              <c:showLegendKey val="0"/>
              <c:showVal val="0"/>
              <c:showCatName val="0"/>
              <c:showSerName val="0"/>
              <c:showPercent val="1"/>
              <c:showBubbleSize val="0"/>
              <c:extLst>
                <c:ext xmlns:c16="http://schemas.microsoft.com/office/drawing/2014/chart" uri="{C3380CC4-5D6E-409C-BE32-E72D297353CC}">
                  <c16:uniqueId val="{00000001-9EA4-4BA9-8E0A-806BF274FEC9}"/>
                </c:ext>
              </c:extLst>
            </c:dLbl>
            <c:dLbl>
              <c:idx val="1"/>
              <c:dLblPos val="ctr"/>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9EA4-4BA9-8E0A-806BF274FEC9}"/>
                </c:ext>
              </c:extLst>
            </c:dLbl>
            <c:dLbl>
              <c:idx val="3"/>
              <c:dLblPos val="inEnd"/>
              <c:showLegendKey val="0"/>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7-9EA4-4BA9-8E0A-806BF274FEC9}"/>
                </c:ext>
              </c:extLst>
            </c:dLbl>
            <c:dLbl>
              <c:idx val="4"/>
              <c:dLblPos val="inEnd"/>
              <c:showLegendKey val="0"/>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9-9EA4-4BA9-8E0A-806BF274FEC9}"/>
                </c:ext>
              </c:extLst>
            </c:dLbl>
            <c:dLbl>
              <c:idx val="5"/>
              <c:dLblPos val="inEnd"/>
              <c:showLegendKey val="0"/>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B-9EA4-4BA9-8E0A-806BF274FEC9}"/>
                </c:ext>
              </c:extLst>
            </c:dLbl>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1">
                        <a:lumMod val="75000"/>
                        <a:lumOff val="25000"/>
                      </a:schemeClr>
                    </a:solidFill>
                    <a:latin typeface="+mn-lt"/>
                    <a:ea typeface="+mn-ea"/>
                    <a:cs typeface="+mn-cs"/>
                  </a:defRPr>
                </a:pPr>
                <a:endParaRPr lang="en-US"/>
              </a:p>
            </c:txPr>
            <c:dLblPos val="inEnd"/>
            <c:showLegendKey val="0"/>
            <c:showVal val="0"/>
            <c:showCatName val="0"/>
            <c:showSerName val="0"/>
            <c:showPercent val="1"/>
            <c:showBubbleSize val="0"/>
            <c:showLeaderLines val="0"/>
            <c:extLst>
              <c:ext xmlns:c15="http://schemas.microsoft.com/office/drawing/2012/chart" uri="{CE6537A1-D6FC-4f65-9D91-7224C49458BB}"/>
            </c:extLst>
          </c:dLbls>
          <c:cat>
            <c:multiLvlStrRef>
              <c:f>('VISITOR TYPE DISTRIBUTION'!$E$10,'VISITOR TYPE DISTRIBUTION'!$E$11)</c:f>
            </c:multiLvlStrRef>
          </c:cat>
          <c:val>
            <c:numRef>
              <c:f>('VISITOR TYPE DISTRIBUTION'!$H$10,'VISITOR TYPE DISTRIBUTION'!$H$11)</c:f>
              <c:numCache>
                <c:formatCode>;;;</c:formatCode>
                <c:ptCount val="2"/>
                <c:pt idx="0">
                  <c:v>20411.496913645446</c:v>
                </c:pt>
                <c:pt idx="1">
                  <c:v>3768.8173242507069</c:v>
                </c:pt>
              </c:numCache>
            </c:numRef>
          </c:val>
          <c:extLst>
            <c:ext xmlns:c16="http://schemas.microsoft.com/office/drawing/2014/chart" uri="{C3380CC4-5D6E-409C-BE32-E72D297353CC}">
              <c16:uniqueId val="{0000000C-9EA4-4BA9-8E0A-806BF274FEC9}"/>
            </c:ext>
          </c:extLst>
        </c:ser>
        <c:dLbls>
          <c:showLegendKey val="0"/>
          <c:showVal val="0"/>
          <c:showCatName val="0"/>
          <c:showSerName val="0"/>
          <c:showPercent val="0"/>
          <c:showBubbleSize val="0"/>
          <c:showLeaderLines val="0"/>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10403230197885015"/>
          <c:w val="0.54095371729888631"/>
          <c:h val="0.88213643937661324"/>
        </c:manualLayout>
      </c:layout>
      <c:doughnutChart>
        <c:varyColors val="1"/>
        <c:ser>
          <c:idx val="0"/>
          <c:order val="0"/>
          <c:tx>
            <c:strRef>
              <c:f>'COMPARATIVE HEADLINES'!$J$26</c:f>
              <c:strCache>
                <c:ptCount val="1"/>
                <c:pt idx="0">
                  <c:v>2022</c:v>
                </c:pt>
              </c:strCache>
            </c:strRef>
          </c:tx>
          <c:explosion val="2"/>
          <c:dPt>
            <c:idx val="0"/>
            <c:bubble3D val="0"/>
            <c:spPr>
              <a:solidFill>
                <a:schemeClr val="tx2"/>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1-539D-4959-994B-5C35D18F1286}"/>
              </c:ext>
            </c:extLst>
          </c:dPt>
          <c:dPt>
            <c:idx val="1"/>
            <c:bubble3D val="0"/>
            <c:spPr>
              <a:solidFill>
                <a:schemeClr val="accent2"/>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3-539D-4959-994B-5C35D18F1286}"/>
              </c:ext>
            </c:extLst>
          </c:dPt>
          <c:dPt>
            <c:idx val="2"/>
            <c:bubble3D val="0"/>
            <c:spPr>
              <a:solidFill>
                <a:schemeClr val="accent6">
                  <a:lumMod val="75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5-539D-4959-994B-5C35D18F1286}"/>
              </c:ext>
            </c:extLst>
          </c:dPt>
          <c:dPt>
            <c:idx val="3"/>
            <c:bubble3D val="0"/>
            <c:spPr>
              <a:solidFill>
                <a:schemeClr val="accent1"/>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7-539D-4959-994B-5C35D18F1286}"/>
              </c:ext>
            </c:extLst>
          </c:dPt>
          <c:dPt>
            <c:idx val="4"/>
            <c:bubble3D val="0"/>
            <c:spPr>
              <a:solidFill>
                <a:schemeClr val="accent4">
                  <a:lumMod val="60000"/>
                  <a:lumOff val="4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9-539D-4959-994B-5C35D18F1286}"/>
              </c:ext>
            </c:extLst>
          </c:dPt>
          <c:dPt>
            <c:idx val="5"/>
            <c:bubble3D val="0"/>
            <c:spPr>
              <a:solidFill>
                <a:schemeClr val="accent3">
                  <a:lumMod val="75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B-539D-4959-994B-5C35D18F1286}"/>
              </c:ext>
            </c:extLst>
          </c:dPt>
          <c:dLbls>
            <c:numFmt formatCode="0.0%" sourceLinked="0"/>
            <c:spPr>
              <a:noFill/>
              <a:ln>
                <a:noFill/>
              </a:ln>
              <a:effectLst/>
            </c:spPr>
            <c:txPr>
              <a:bodyPr rot="0" spcFirstLastPara="1" vertOverflow="overflow" horzOverflow="overflow" vert="horz" wrap="square" lIns="0" tIns="0" rIns="0" bIns="0" anchor="t" anchorCtr="0">
                <a:spAutoFit/>
              </a:bodyPr>
              <a:lstStyle/>
              <a:p>
                <a:pPr>
                  <a:defRPr sz="1000" b="1" i="0" u="none" strike="noStrike" kern="1200" baseline="0">
                    <a:solidFill>
                      <a:schemeClr val="lt1"/>
                    </a:solidFill>
                    <a:effectLst>
                      <a:outerShdw blurRad="457200" dir="6120000" algn="ctr" rotWithShape="0">
                        <a:schemeClr val="tx1"/>
                      </a:outerShdw>
                    </a:effectLst>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15:spPr xmlns:c15="http://schemas.microsoft.com/office/drawing/2012/chart">
                  <a:prstGeom prst="rect">
                    <a:avLst/>
                  </a:prstGeom>
                  <a:pattFill prst="pct75">
                    <a:fgClr>
                      <a:schemeClr val="dk1">
                        <a:lumMod val="75000"/>
                        <a:lumOff val="25000"/>
                      </a:schemeClr>
                    </a:fgClr>
                    <a:bgClr>
                      <a:schemeClr val="dk1">
                        <a:lumMod val="65000"/>
                        <a:lumOff val="35000"/>
                      </a:schemeClr>
                    </a:bgClr>
                  </a:pattFill>
                  <a:ln>
                    <a:noFill/>
                  </a:ln>
                </c15:spPr>
              </c:ext>
            </c:extLst>
          </c:dLbls>
          <c:cat>
            <c:strRef>
              <c:f>('COMPARATIVE HEADLINES'!$M$27:$O$31,'COMPARATIVE HEADLINES'!$M$33:$O$33)</c:f>
              <c:strCache>
                <c:ptCount val="6"/>
                <c:pt idx="0">
                  <c:v>Accommodation</c:v>
                </c:pt>
                <c:pt idx="1">
                  <c:v>Food &amp; Drink</c:v>
                </c:pt>
                <c:pt idx="2">
                  <c:v>Recreation</c:v>
                </c:pt>
                <c:pt idx="3">
                  <c:v>Shopping</c:v>
                </c:pt>
                <c:pt idx="4">
                  <c:v>Transport</c:v>
                </c:pt>
                <c:pt idx="5">
                  <c:v>Indirect</c:v>
                </c:pt>
              </c:strCache>
            </c:strRef>
          </c:cat>
          <c:val>
            <c:numRef>
              <c:f>('COMPARATIVE HEADLINES'!$J$27:$J$31,'COMPARATIVE HEADLINES'!$J$33)</c:f>
              <c:numCache>
                <c:formatCode>#,##0.00</c:formatCode>
                <c:ptCount val="6"/>
                <c:pt idx="0">
                  <c:v>0.31344752428147149</c:v>
                </c:pt>
                <c:pt idx="1">
                  <c:v>0.25830748019769967</c:v>
                </c:pt>
                <c:pt idx="2">
                  <c:v>9.0612952564549223E-2</c:v>
                </c:pt>
                <c:pt idx="3">
                  <c:v>0.33697564990940443</c:v>
                </c:pt>
                <c:pt idx="4">
                  <c:v>0.11967912741589729</c:v>
                </c:pt>
                <c:pt idx="5">
                  <c:v>0.40441863660647326</c:v>
                </c:pt>
              </c:numCache>
            </c:numRef>
          </c:val>
          <c:extLst>
            <c:ext xmlns:c16="http://schemas.microsoft.com/office/drawing/2014/chart" uri="{C3380CC4-5D6E-409C-BE32-E72D297353CC}">
              <c16:uniqueId val="{0000000C-539D-4959-994B-5C35D18F1286}"/>
            </c:ext>
          </c:extLst>
        </c:ser>
        <c:dLbls>
          <c:showLegendKey val="0"/>
          <c:showVal val="0"/>
          <c:showCatName val="0"/>
          <c:showSerName val="0"/>
          <c:showPercent val="1"/>
          <c:showBubbleSize val="0"/>
          <c:showLeaderLines val="1"/>
        </c:dLbls>
        <c:firstSliceAng val="0"/>
        <c:holeSize val="50"/>
      </c:doughnutChart>
      <c:spPr>
        <a:noFill/>
        <a:ln>
          <a:noFill/>
        </a:ln>
        <a:effectLst/>
      </c:spPr>
    </c:plotArea>
    <c:legend>
      <c:legendPos val="l"/>
      <c:layout>
        <c:manualLayout>
          <c:xMode val="edge"/>
          <c:yMode val="edge"/>
          <c:x val="0.58100065416419422"/>
          <c:y val="2.8315962579366374E-2"/>
          <c:w val="0.41283003318238692"/>
          <c:h val="0.94331198745385025"/>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legend>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223346783314473"/>
          <c:y val="7.460896059321255E-2"/>
          <c:w val="0.73302641119019762"/>
          <c:h val="0.84579997430391129"/>
        </c:manualLayout>
      </c:layout>
      <c:pieChart>
        <c:varyColors val="1"/>
        <c:ser>
          <c:idx val="0"/>
          <c:order val="0"/>
          <c:spPr>
            <a:ln w="19050">
              <a:solidFill>
                <a:schemeClr val="bg1"/>
              </a:solidFill>
            </a:ln>
            <a:effectLst>
              <a:outerShdw blurRad="190500" sx="102000" sy="102000" algn="ctr" rotWithShape="0">
                <a:schemeClr val="accent6">
                  <a:alpha val="40000"/>
                </a:schemeClr>
              </a:outerShdw>
            </a:effectLst>
          </c:spPr>
          <c:dPt>
            <c:idx val="0"/>
            <c:bubble3D val="0"/>
            <c:spPr>
              <a:solidFill>
                <a:schemeClr val="accent3">
                  <a:lumMod val="20000"/>
                  <a:lumOff val="80000"/>
                </a:schemeClr>
              </a:solidFill>
              <a:ln w="19050">
                <a:solidFill>
                  <a:schemeClr val="bg1"/>
                </a:solidFill>
              </a:ln>
              <a:effectLst>
                <a:outerShdw blurRad="190500" sx="102000" sy="102000" algn="ctr" rotWithShape="0">
                  <a:schemeClr val="accent6">
                    <a:alpha val="40000"/>
                  </a:schemeClr>
                </a:outerShdw>
              </a:effectLst>
            </c:spPr>
            <c:extLst>
              <c:ext xmlns:c16="http://schemas.microsoft.com/office/drawing/2014/chart" uri="{C3380CC4-5D6E-409C-BE32-E72D297353CC}">
                <c16:uniqueId val="{00000001-5BEE-4959-88B5-87E36C255F7F}"/>
              </c:ext>
            </c:extLst>
          </c:dPt>
          <c:dPt>
            <c:idx val="1"/>
            <c:bubble3D val="0"/>
            <c:spPr>
              <a:solidFill>
                <a:schemeClr val="accent3">
                  <a:lumMod val="40000"/>
                  <a:lumOff val="60000"/>
                </a:schemeClr>
              </a:solidFill>
              <a:ln w="19050">
                <a:solidFill>
                  <a:schemeClr val="bg1"/>
                </a:solidFill>
              </a:ln>
              <a:effectLst>
                <a:outerShdw blurRad="190500" sx="102000" sy="102000" algn="ctr" rotWithShape="0">
                  <a:schemeClr val="accent6">
                    <a:alpha val="40000"/>
                  </a:schemeClr>
                </a:outerShdw>
              </a:effectLst>
            </c:spPr>
            <c:extLst>
              <c:ext xmlns:c16="http://schemas.microsoft.com/office/drawing/2014/chart" uri="{C3380CC4-5D6E-409C-BE32-E72D297353CC}">
                <c16:uniqueId val="{00000003-5BEE-4959-88B5-87E36C255F7F}"/>
              </c:ext>
            </c:extLst>
          </c:dPt>
          <c:dPt>
            <c:idx val="2"/>
            <c:bubble3D val="0"/>
            <c:spPr>
              <a:solidFill>
                <a:schemeClr val="accent3"/>
              </a:solidFill>
              <a:ln w="19050">
                <a:solidFill>
                  <a:schemeClr val="bg1"/>
                </a:solidFill>
              </a:ln>
              <a:effectLst>
                <a:outerShdw blurRad="190500" sx="102000" sy="102000" algn="ctr" rotWithShape="0">
                  <a:schemeClr val="accent6">
                    <a:alpha val="40000"/>
                  </a:schemeClr>
                </a:outerShdw>
              </a:effectLst>
            </c:spPr>
            <c:extLst>
              <c:ext xmlns:c16="http://schemas.microsoft.com/office/drawing/2014/chart" uri="{C3380CC4-5D6E-409C-BE32-E72D297353CC}">
                <c16:uniqueId val="{00000005-5BEE-4959-88B5-87E36C255F7F}"/>
              </c:ext>
            </c:extLst>
          </c:dPt>
          <c:dPt>
            <c:idx val="3"/>
            <c:bubble3D val="0"/>
            <c:spPr>
              <a:solidFill>
                <a:srgbClr val="FFFF00"/>
              </a:solidFill>
              <a:ln w="19050">
                <a:solidFill>
                  <a:schemeClr val="bg1"/>
                </a:solidFill>
              </a:ln>
              <a:effectLst>
                <a:outerShdw blurRad="190500" sx="102000" sy="102000" algn="ctr" rotWithShape="0">
                  <a:schemeClr val="accent6">
                    <a:alpha val="40000"/>
                  </a:schemeClr>
                </a:outerShdw>
              </a:effectLst>
            </c:spPr>
            <c:extLst>
              <c:ext xmlns:c16="http://schemas.microsoft.com/office/drawing/2014/chart" uri="{C3380CC4-5D6E-409C-BE32-E72D297353CC}">
                <c16:uniqueId val="{00000007-5BEE-4959-88B5-87E36C255F7F}"/>
              </c:ext>
            </c:extLst>
          </c:dPt>
          <c:dPt>
            <c:idx val="4"/>
            <c:bubble3D val="0"/>
            <c:spPr>
              <a:solidFill>
                <a:srgbClr val="FFFF00"/>
              </a:solidFill>
              <a:ln w="19050">
                <a:solidFill>
                  <a:schemeClr val="bg1"/>
                </a:solidFill>
              </a:ln>
              <a:effectLst>
                <a:outerShdw blurRad="190500" sx="102000" sy="102000" algn="ctr" rotWithShape="0">
                  <a:schemeClr val="accent6">
                    <a:alpha val="40000"/>
                  </a:schemeClr>
                </a:outerShdw>
              </a:effectLst>
            </c:spPr>
            <c:extLst>
              <c:ext xmlns:c16="http://schemas.microsoft.com/office/drawing/2014/chart" uri="{C3380CC4-5D6E-409C-BE32-E72D297353CC}">
                <c16:uniqueId val="{00000009-5BEE-4959-88B5-87E36C255F7F}"/>
              </c:ext>
            </c:extLst>
          </c:dPt>
          <c:dPt>
            <c:idx val="5"/>
            <c:bubble3D val="0"/>
            <c:spPr>
              <a:solidFill>
                <a:schemeClr val="accent6"/>
              </a:solidFill>
              <a:ln w="19050">
                <a:solidFill>
                  <a:schemeClr val="bg1"/>
                </a:solidFill>
              </a:ln>
              <a:effectLst>
                <a:outerShdw blurRad="190500" sx="102000" sy="102000" algn="ctr" rotWithShape="0">
                  <a:schemeClr val="accent6">
                    <a:alpha val="40000"/>
                  </a:schemeClr>
                </a:outerShdw>
              </a:effectLst>
            </c:spPr>
            <c:extLst>
              <c:ext xmlns:c16="http://schemas.microsoft.com/office/drawing/2014/chart" uri="{C3380CC4-5D6E-409C-BE32-E72D297353CC}">
                <c16:uniqueId val="{0000000B-5BEE-4959-88B5-87E36C255F7F}"/>
              </c:ext>
            </c:extLst>
          </c:dPt>
          <c:dLbls>
            <c:dLbl>
              <c:idx val="0"/>
              <c:layout>
                <c:manualLayout>
                  <c:x val="-3.6074557873627323E-2"/>
                  <c:y val="0"/>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5BEE-4959-88B5-87E36C255F7F}"/>
                </c:ext>
              </c:extLst>
            </c:dLbl>
            <c:dLbl>
              <c:idx val="2"/>
              <c:layout>
                <c:manualLayout>
                  <c:x val="2.4049705249084879E-2"/>
                  <c:y val="4.9751224291446593E-3"/>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5-5BEE-4959-88B5-87E36C255F7F}"/>
                </c:ext>
              </c:extLst>
            </c:dLbl>
            <c:dLbl>
              <c:idx val="3"/>
              <c:delete val="1"/>
              <c:extLst>
                <c:ext xmlns:c15="http://schemas.microsoft.com/office/drawing/2012/chart" uri="{CE6537A1-D6FC-4f65-9D91-7224C49458BB}"/>
                <c:ext xmlns:c16="http://schemas.microsoft.com/office/drawing/2014/chart" uri="{C3380CC4-5D6E-409C-BE32-E72D297353CC}">
                  <c16:uniqueId val="{00000007-5BEE-4959-88B5-87E36C255F7F}"/>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0"/>
            <c:showCatName val="0"/>
            <c:showSerName val="0"/>
            <c:showPercent val="1"/>
            <c:showBubbleSize val="0"/>
            <c:showLeaderLines val="0"/>
            <c:extLst>
              <c:ext xmlns:c15="http://schemas.microsoft.com/office/drawing/2012/chart" uri="{CE6537A1-D6FC-4f65-9D91-7224C49458BB}"/>
            </c:extLst>
          </c:dLbls>
          <c:val>
            <c:numRef>
              <c:f>'VISITOR TYPE DISTRIBUTION'!$J$12:$J$15</c:f>
              <c:numCache>
                <c:formatCode>;;;</c:formatCode>
                <c:ptCount val="4"/>
                <c:pt idx="0">
                  <c:v>2005.8532319564802</c:v>
                </c:pt>
                <c:pt idx="1">
                  <c:v>10593.01630038202</c:v>
                </c:pt>
                <c:pt idx="2">
                  <c:v>137.92343032100135</c:v>
                </c:pt>
                <c:pt idx="3">
                  <c:v>1547.2243679194735</c:v>
                </c:pt>
              </c:numCache>
            </c:numRef>
          </c:val>
          <c:extLst>
            <c:ext xmlns:c15="http://schemas.microsoft.com/office/drawing/2012/chart" uri="{02D57815-91ED-43cb-92C2-25804820EDAC}">
              <c15:filteredCategoryTitle>
                <c15:cat>
                  <c:multiLvlStrRef>
                    <c:extLst>
                      <c:ext uri="{02D57815-91ED-43cb-92C2-25804820EDAC}">
                        <c15:formulaRef>
                          <c15:sqref>'VISITOR TYPE DISTRIBUTION'!$E$12:$E$15</c15:sqref>
                        </c15:formulaRef>
                      </c:ext>
                    </c:extLst>
                  </c:multiLvlStrRef>
                </c15:cat>
              </c15:filteredCategoryTitle>
            </c:ext>
            <c:ext xmlns:c16="http://schemas.microsoft.com/office/drawing/2014/chart" uri="{C3380CC4-5D6E-409C-BE32-E72D297353CC}">
              <c16:uniqueId val="{0000000C-5BEE-4959-88B5-87E36C255F7F}"/>
            </c:ext>
          </c:extLst>
        </c:ser>
        <c:dLbls>
          <c:showLegendKey val="0"/>
          <c:showVal val="0"/>
          <c:showCatName val="0"/>
          <c:showSerName val="0"/>
          <c:showPercent val="0"/>
          <c:showBubbleSize val="0"/>
          <c:showLeaderLines val="0"/>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9708242991365215E-2"/>
          <c:y val="4.1975042229786451E-2"/>
          <c:w val="0.86426908592947616"/>
          <c:h val="0.93437806817922353"/>
        </c:manualLayout>
      </c:layout>
      <c:pieChart>
        <c:varyColors val="1"/>
        <c:ser>
          <c:idx val="0"/>
          <c:order val="0"/>
          <c:spPr>
            <a:ln w="3175">
              <a:solidFill>
                <a:schemeClr val="tx1">
                  <a:lumMod val="50000"/>
                  <a:lumOff val="50000"/>
                </a:schemeClr>
              </a:solidFill>
            </a:ln>
            <a:effectLst>
              <a:outerShdw blurRad="190500" sx="102000" sy="102000" algn="ctr" rotWithShape="0">
                <a:schemeClr val="tx1">
                  <a:lumMod val="50000"/>
                  <a:lumOff val="50000"/>
                  <a:alpha val="40000"/>
                </a:schemeClr>
              </a:outerShdw>
            </a:effectLst>
          </c:spPr>
          <c:dPt>
            <c:idx val="0"/>
            <c:bubble3D val="0"/>
            <c:spPr>
              <a:solidFill>
                <a:srgbClr val="00B050"/>
              </a:solidFill>
              <a:ln w="6350">
                <a:solidFill>
                  <a:schemeClr val="bg1"/>
                </a:solidFill>
              </a:ln>
              <a:effectLst>
                <a:outerShdw blurRad="190500" sx="102000" sy="102000" algn="ctr" rotWithShape="0">
                  <a:schemeClr val="bg1">
                    <a:alpha val="40000"/>
                  </a:schemeClr>
                </a:outerShdw>
              </a:effectLst>
            </c:spPr>
            <c:extLst>
              <c:ext xmlns:c16="http://schemas.microsoft.com/office/drawing/2014/chart" uri="{C3380CC4-5D6E-409C-BE32-E72D297353CC}">
                <c16:uniqueId val="{00000001-D2CE-4997-9F6E-555479D893B8}"/>
              </c:ext>
            </c:extLst>
          </c:dPt>
          <c:dPt>
            <c:idx val="1"/>
            <c:bubble3D val="0"/>
            <c:spPr>
              <a:solidFill>
                <a:srgbClr val="FFFF00"/>
              </a:solidFill>
              <a:ln w="3175">
                <a:noFill/>
              </a:ln>
              <a:effectLst>
                <a:outerShdw blurRad="190500" sx="102000" sy="102000" algn="ctr" rotWithShape="0">
                  <a:schemeClr val="tx1">
                    <a:lumMod val="50000"/>
                    <a:lumOff val="50000"/>
                    <a:alpha val="40000"/>
                  </a:schemeClr>
                </a:outerShdw>
              </a:effectLst>
            </c:spPr>
            <c:extLst>
              <c:ext xmlns:c16="http://schemas.microsoft.com/office/drawing/2014/chart" uri="{C3380CC4-5D6E-409C-BE32-E72D297353CC}">
                <c16:uniqueId val="{00000003-D2CE-4997-9F6E-555479D893B8}"/>
              </c:ext>
            </c:extLst>
          </c:dPt>
          <c:dPt>
            <c:idx val="2"/>
            <c:bubble3D val="0"/>
            <c:spPr>
              <a:solidFill>
                <a:schemeClr val="accent3"/>
              </a:solidFill>
              <a:ln w="3175">
                <a:solidFill>
                  <a:schemeClr val="tx1">
                    <a:lumMod val="50000"/>
                    <a:lumOff val="50000"/>
                  </a:schemeClr>
                </a:solidFill>
              </a:ln>
              <a:effectLst>
                <a:outerShdw blurRad="190500" sx="102000" sy="102000" algn="ctr" rotWithShape="0">
                  <a:schemeClr val="tx1">
                    <a:lumMod val="50000"/>
                    <a:lumOff val="50000"/>
                    <a:alpha val="40000"/>
                  </a:schemeClr>
                </a:outerShdw>
              </a:effectLst>
            </c:spPr>
            <c:extLst>
              <c:ext xmlns:c16="http://schemas.microsoft.com/office/drawing/2014/chart" uri="{C3380CC4-5D6E-409C-BE32-E72D297353CC}">
                <c16:uniqueId val="{00000005-D2CE-4997-9F6E-555479D893B8}"/>
              </c:ext>
            </c:extLst>
          </c:dPt>
          <c:dPt>
            <c:idx val="3"/>
            <c:bubble3D val="0"/>
            <c:spPr>
              <a:solidFill>
                <a:srgbClr val="00B050"/>
              </a:solidFill>
              <a:ln w="3175">
                <a:solidFill>
                  <a:schemeClr val="tx1">
                    <a:lumMod val="50000"/>
                    <a:lumOff val="50000"/>
                  </a:schemeClr>
                </a:solidFill>
              </a:ln>
              <a:effectLst>
                <a:outerShdw blurRad="190500" sx="102000" sy="102000" algn="ctr" rotWithShape="0">
                  <a:schemeClr val="tx1">
                    <a:lumMod val="50000"/>
                    <a:lumOff val="50000"/>
                    <a:alpha val="40000"/>
                  </a:schemeClr>
                </a:outerShdw>
              </a:effectLst>
            </c:spPr>
            <c:extLst>
              <c:ext xmlns:c16="http://schemas.microsoft.com/office/drawing/2014/chart" uri="{C3380CC4-5D6E-409C-BE32-E72D297353CC}">
                <c16:uniqueId val="{00000007-D2CE-4997-9F6E-555479D893B8}"/>
              </c:ext>
            </c:extLst>
          </c:dPt>
          <c:dPt>
            <c:idx val="4"/>
            <c:bubble3D val="0"/>
            <c:spPr>
              <a:solidFill>
                <a:srgbClr val="FFFF00"/>
              </a:solidFill>
              <a:ln w="3175">
                <a:solidFill>
                  <a:schemeClr val="tx1">
                    <a:lumMod val="50000"/>
                    <a:lumOff val="50000"/>
                  </a:schemeClr>
                </a:solidFill>
              </a:ln>
              <a:effectLst>
                <a:outerShdw blurRad="190500" sx="102000" sy="102000" algn="ctr" rotWithShape="0">
                  <a:schemeClr val="tx1">
                    <a:lumMod val="50000"/>
                    <a:lumOff val="50000"/>
                    <a:alpha val="40000"/>
                  </a:schemeClr>
                </a:outerShdw>
              </a:effectLst>
            </c:spPr>
            <c:extLst>
              <c:ext xmlns:c16="http://schemas.microsoft.com/office/drawing/2014/chart" uri="{C3380CC4-5D6E-409C-BE32-E72D297353CC}">
                <c16:uniqueId val="{00000009-D2CE-4997-9F6E-555479D893B8}"/>
              </c:ext>
            </c:extLst>
          </c:dPt>
          <c:dPt>
            <c:idx val="5"/>
            <c:bubble3D val="0"/>
            <c:spPr>
              <a:solidFill>
                <a:schemeClr val="accent6"/>
              </a:solidFill>
              <a:ln w="3175">
                <a:solidFill>
                  <a:schemeClr val="tx1">
                    <a:lumMod val="50000"/>
                    <a:lumOff val="50000"/>
                  </a:schemeClr>
                </a:solidFill>
              </a:ln>
              <a:effectLst>
                <a:outerShdw blurRad="190500" sx="102000" sy="102000" algn="ctr" rotWithShape="0">
                  <a:schemeClr val="tx1">
                    <a:lumMod val="50000"/>
                    <a:lumOff val="50000"/>
                    <a:alpha val="40000"/>
                  </a:schemeClr>
                </a:outerShdw>
              </a:effectLst>
            </c:spPr>
            <c:extLst>
              <c:ext xmlns:c16="http://schemas.microsoft.com/office/drawing/2014/chart" uri="{C3380CC4-5D6E-409C-BE32-E72D297353CC}">
                <c16:uniqueId val="{0000000B-D2CE-4997-9F6E-555479D893B8}"/>
              </c:ext>
            </c:extLst>
          </c:dPt>
          <c:dLbls>
            <c:dLbl>
              <c:idx val="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effectLst>
                        <a:outerShdw blurRad="63500" sx="102000" sy="102000" algn="ctr" rotWithShape="0">
                          <a:prstClr val="black">
                            <a:alpha val="40000"/>
                          </a:prstClr>
                        </a:outerShdw>
                      </a:effectLst>
                      <a:latin typeface="+mn-lt"/>
                      <a:ea typeface="+mn-ea"/>
                      <a:cs typeface="+mn-cs"/>
                    </a:defRPr>
                  </a:pPr>
                  <a:endParaRPr lang="en-US"/>
                </a:p>
              </c:txPr>
              <c:dLblPos val="inEnd"/>
              <c:showLegendKey val="0"/>
              <c:showVal val="0"/>
              <c:showCatName val="0"/>
              <c:showSerName val="0"/>
              <c:showPercent val="1"/>
              <c:showBubbleSize val="0"/>
              <c:extLst>
                <c:ext xmlns:c16="http://schemas.microsoft.com/office/drawing/2014/chart" uri="{C3380CC4-5D6E-409C-BE32-E72D297353CC}">
                  <c16:uniqueId val="{00000001-D2CE-4997-9F6E-555479D893B8}"/>
                </c:ext>
              </c:extLst>
            </c:dLbl>
            <c:dLbl>
              <c:idx val="1"/>
              <c:dLblPos val="ctr"/>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D2CE-4997-9F6E-555479D893B8}"/>
                </c:ext>
              </c:extLst>
            </c:dLbl>
            <c:dLbl>
              <c:idx val="3"/>
              <c:dLblPos val="inEnd"/>
              <c:showLegendKey val="0"/>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7-D2CE-4997-9F6E-555479D893B8}"/>
                </c:ext>
              </c:extLst>
            </c:dLbl>
            <c:dLbl>
              <c:idx val="4"/>
              <c:dLblPos val="inEnd"/>
              <c:showLegendKey val="0"/>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9-D2CE-4997-9F6E-555479D893B8}"/>
                </c:ext>
              </c:extLst>
            </c:dLbl>
            <c:dLbl>
              <c:idx val="5"/>
              <c:dLblPos val="inEnd"/>
              <c:showLegendKey val="0"/>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B-D2CE-4997-9F6E-555479D893B8}"/>
                </c:ext>
              </c:extLst>
            </c:dLbl>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1">
                        <a:lumMod val="75000"/>
                        <a:lumOff val="25000"/>
                      </a:schemeClr>
                    </a:solidFill>
                    <a:latin typeface="+mn-lt"/>
                    <a:ea typeface="+mn-ea"/>
                    <a:cs typeface="+mn-cs"/>
                  </a:defRPr>
                </a:pPr>
                <a:endParaRPr lang="en-US"/>
              </a:p>
            </c:txPr>
            <c:dLblPos val="inEnd"/>
            <c:showLegendKey val="0"/>
            <c:showVal val="0"/>
            <c:showCatName val="0"/>
            <c:showSerName val="0"/>
            <c:showPercent val="1"/>
            <c:showBubbleSize val="0"/>
            <c:showLeaderLines val="0"/>
            <c:extLst>
              <c:ext xmlns:c15="http://schemas.microsoft.com/office/drawing/2012/chart" uri="{CE6537A1-D6FC-4f65-9D91-7224C49458BB}"/>
            </c:extLst>
          </c:dLbls>
          <c:cat>
            <c:multiLvlStrRef>
              <c:f>('VISITOR TYPE DISTRIBUTION'!$E$10,'VISITOR TYPE DISTRIBUTION'!$E$11)</c:f>
            </c:multiLvlStrRef>
          </c:cat>
          <c:val>
            <c:numRef>
              <c:f>('VISITOR TYPE DISTRIBUTION'!$J$10,'VISITOR TYPE DISTRIBUTION'!$J$11)</c:f>
              <c:numCache>
                <c:formatCode>;;;</c:formatCode>
                <c:ptCount val="2"/>
                <c:pt idx="0">
                  <c:v>12736.792962659501</c:v>
                </c:pt>
                <c:pt idx="1">
                  <c:v>1547.2243679194735</c:v>
                </c:pt>
              </c:numCache>
            </c:numRef>
          </c:val>
          <c:extLst>
            <c:ext xmlns:c16="http://schemas.microsoft.com/office/drawing/2014/chart" uri="{C3380CC4-5D6E-409C-BE32-E72D297353CC}">
              <c16:uniqueId val="{0000000C-D2CE-4997-9F6E-555479D893B8}"/>
            </c:ext>
          </c:extLst>
        </c:ser>
        <c:dLbls>
          <c:showLegendKey val="0"/>
          <c:showVal val="0"/>
          <c:showCatName val="0"/>
          <c:showSerName val="0"/>
          <c:showPercent val="0"/>
          <c:showBubbleSize val="0"/>
          <c:showLeaderLines val="0"/>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areaChart>
        <c:grouping val="percentStacked"/>
        <c:varyColors val="0"/>
        <c:ser>
          <c:idx val="0"/>
          <c:order val="0"/>
          <c:tx>
            <c:strRef>
              <c:f>'MONTHLY DISTRIBUTION'!$E$44</c:f>
              <c:strCache>
                <c:ptCount val="1"/>
                <c:pt idx="0">
                  <c:v>Serviced Accommodation</c:v>
                </c:pt>
              </c:strCache>
            </c:strRef>
          </c:tx>
          <c:spPr>
            <a:solidFill>
              <a:schemeClr val="accent3">
                <a:lumMod val="20000"/>
                <a:lumOff val="80000"/>
              </a:schemeClr>
            </a:solidFill>
            <a:ln w="25400">
              <a:noFill/>
            </a:ln>
            <a:effectLst/>
          </c:spPr>
          <c:cat>
            <c:strRef>
              <c:f>'MONTHLY DISTRIBUTION'!$F$43:$Q$43</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'MONTHLY DISTRIBUTION'!$F$44:$Q$44</c:f>
              <c:numCache>
                <c:formatCode>#,##0.0</c:formatCode>
                <c:ptCount val="12"/>
                <c:pt idx="0">
                  <c:v>2068.5748130546076</c:v>
                </c:pt>
                <c:pt idx="1">
                  <c:v>4648.9224884416963</c:v>
                </c:pt>
                <c:pt idx="2">
                  <c:v>8488.9290301817218</c:v>
                </c:pt>
                <c:pt idx="3">
                  <c:v>10006.866423473122</c:v>
                </c:pt>
                <c:pt idx="4">
                  <c:v>11945.095964703747</c:v>
                </c:pt>
                <c:pt idx="5">
                  <c:v>12566.800340973008</c:v>
                </c:pt>
                <c:pt idx="6">
                  <c:v>24213.375235050167</c:v>
                </c:pt>
                <c:pt idx="7">
                  <c:v>24918.17747379289</c:v>
                </c:pt>
                <c:pt idx="8">
                  <c:v>16167.127395296584</c:v>
                </c:pt>
                <c:pt idx="9">
                  <c:v>12359.954952189451</c:v>
                </c:pt>
                <c:pt idx="10">
                  <c:v>8517.2060413507825</c:v>
                </c:pt>
                <c:pt idx="11">
                  <c:v>6362.8327516727932</c:v>
                </c:pt>
              </c:numCache>
            </c:numRef>
          </c:val>
          <c:extLst>
            <c:ext xmlns:c16="http://schemas.microsoft.com/office/drawing/2014/chart" uri="{C3380CC4-5D6E-409C-BE32-E72D297353CC}">
              <c16:uniqueId val="{00000000-39AD-4B0F-BE10-517BC0C188C4}"/>
            </c:ext>
          </c:extLst>
        </c:ser>
        <c:ser>
          <c:idx val="1"/>
          <c:order val="1"/>
          <c:tx>
            <c:strRef>
              <c:f>'MONTHLY DISTRIBUTION'!$E$45</c:f>
              <c:strCache>
                <c:ptCount val="1"/>
                <c:pt idx="0">
                  <c:v>Non-Serviced Accommodation</c:v>
                </c:pt>
              </c:strCache>
            </c:strRef>
          </c:tx>
          <c:spPr>
            <a:solidFill>
              <a:schemeClr val="accent3">
                <a:lumMod val="40000"/>
                <a:lumOff val="60000"/>
              </a:schemeClr>
            </a:solidFill>
            <a:ln w="25400">
              <a:noFill/>
            </a:ln>
            <a:effectLst/>
          </c:spPr>
          <c:cat>
            <c:strRef>
              <c:f>'MONTHLY DISTRIBUTION'!$F$43:$Q$43</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'MONTHLY DISTRIBUTION'!$F$45:$Q$45</c:f>
              <c:numCache>
                <c:formatCode>#,##0.0</c:formatCode>
                <c:ptCount val="12"/>
                <c:pt idx="0">
                  <c:v>43891.049686025457</c:v>
                </c:pt>
                <c:pt idx="1">
                  <c:v>49967.409705116763</c:v>
                </c:pt>
                <c:pt idx="2">
                  <c:v>109790.9597382369</c:v>
                </c:pt>
                <c:pt idx="3">
                  <c:v>89878.393246937267</c:v>
                </c:pt>
                <c:pt idx="4">
                  <c:v>109105.74058250024</c:v>
                </c:pt>
                <c:pt idx="5">
                  <c:v>117216.66812190303</c:v>
                </c:pt>
                <c:pt idx="6">
                  <c:v>144431.56965278054</c:v>
                </c:pt>
                <c:pt idx="7">
                  <c:v>156294.66025827598</c:v>
                </c:pt>
                <c:pt idx="8">
                  <c:v>124877.15690873298</c:v>
                </c:pt>
                <c:pt idx="9">
                  <c:v>100506.96511342507</c:v>
                </c:pt>
                <c:pt idx="10">
                  <c:v>59225.445287944836</c:v>
                </c:pt>
                <c:pt idx="11">
                  <c:v>52777.48605782925</c:v>
                </c:pt>
              </c:numCache>
            </c:numRef>
          </c:val>
          <c:extLst>
            <c:ext xmlns:c16="http://schemas.microsoft.com/office/drawing/2014/chart" uri="{C3380CC4-5D6E-409C-BE32-E72D297353CC}">
              <c16:uniqueId val="{00000001-39AD-4B0F-BE10-517BC0C188C4}"/>
            </c:ext>
          </c:extLst>
        </c:ser>
        <c:ser>
          <c:idx val="2"/>
          <c:order val="2"/>
          <c:tx>
            <c:strRef>
              <c:f>'MONTHLY DISTRIBUTION'!$E$46</c:f>
              <c:strCache>
                <c:ptCount val="1"/>
                <c:pt idx="0">
                  <c:v>SFR</c:v>
                </c:pt>
              </c:strCache>
            </c:strRef>
          </c:tx>
          <c:spPr>
            <a:solidFill>
              <a:schemeClr val="accent3">
                <a:lumMod val="60000"/>
                <a:lumOff val="40000"/>
              </a:schemeClr>
            </a:solidFill>
            <a:ln w="25400">
              <a:noFill/>
            </a:ln>
            <a:effectLst/>
          </c:spPr>
          <c:cat>
            <c:strRef>
              <c:f>'MONTHLY DISTRIBUTION'!$F$43:$Q$43</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'MONTHLY DISTRIBUTION'!$F$46:$Q$46</c:f>
              <c:numCache>
                <c:formatCode>#,##0.0</c:formatCode>
                <c:ptCount val="12"/>
                <c:pt idx="0">
                  <c:v>2355.2002520357928</c:v>
                </c:pt>
                <c:pt idx="1">
                  <c:v>791.34728468402636</c:v>
                </c:pt>
                <c:pt idx="2">
                  <c:v>900.20987411145882</c:v>
                </c:pt>
                <c:pt idx="3">
                  <c:v>2147.9426298566432</c:v>
                </c:pt>
                <c:pt idx="4">
                  <c:v>1381.7174811943319</c:v>
                </c:pt>
                <c:pt idx="5">
                  <c:v>1064.3620979000154</c:v>
                </c:pt>
                <c:pt idx="6">
                  <c:v>1727.1468514929149</c:v>
                </c:pt>
                <c:pt idx="7">
                  <c:v>1828.3471894337238</c:v>
                </c:pt>
                <c:pt idx="8">
                  <c:v>941.74723251202954</c:v>
                </c:pt>
                <c:pt idx="9">
                  <c:v>940.82399401323153</c:v>
                </c:pt>
                <c:pt idx="10">
                  <c:v>733.09533178367451</c:v>
                </c:pt>
                <c:pt idx="11">
                  <c:v>2122.8204938349281</c:v>
                </c:pt>
              </c:numCache>
            </c:numRef>
          </c:val>
          <c:extLst>
            <c:ext xmlns:c16="http://schemas.microsoft.com/office/drawing/2014/chart" uri="{C3380CC4-5D6E-409C-BE32-E72D297353CC}">
              <c16:uniqueId val="{00000002-39AD-4B0F-BE10-517BC0C188C4}"/>
            </c:ext>
          </c:extLst>
        </c:ser>
        <c:ser>
          <c:idx val="3"/>
          <c:order val="3"/>
          <c:tx>
            <c:strRef>
              <c:f>'MONTHLY DISTRIBUTION'!$E$47</c:f>
              <c:strCache>
                <c:ptCount val="1"/>
                <c:pt idx="0">
                  <c:v>Day Visitor</c:v>
                </c:pt>
              </c:strCache>
            </c:strRef>
          </c:tx>
          <c:spPr>
            <a:solidFill>
              <a:srgbClr val="FFFF00"/>
            </a:solidFill>
            <a:ln w="25400">
              <a:noFill/>
            </a:ln>
            <a:effectLst/>
          </c:spPr>
          <c:cat>
            <c:strRef>
              <c:f>'MONTHLY DISTRIBUTION'!$F$43:$Q$43</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'MONTHLY DISTRIBUTION'!$F$47:$Q$47</c:f>
              <c:numCache>
                <c:formatCode>#,##0.0</c:formatCode>
                <c:ptCount val="12"/>
                <c:pt idx="0">
                  <c:v>2665.2560269332812</c:v>
                </c:pt>
                <c:pt idx="1">
                  <c:v>4505.9851372673456</c:v>
                </c:pt>
                <c:pt idx="2">
                  <c:v>16523.111160631266</c:v>
                </c:pt>
                <c:pt idx="3">
                  <c:v>24422.808876374515</c:v>
                </c:pt>
                <c:pt idx="4">
                  <c:v>22646.920225161681</c:v>
                </c:pt>
                <c:pt idx="5">
                  <c:v>31947.801307056921</c:v>
                </c:pt>
                <c:pt idx="6">
                  <c:v>27352.472996822748</c:v>
                </c:pt>
                <c:pt idx="7">
                  <c:v>38734.274518286744</c:v>
                </c:pt>
                <c:pt idx="8">
                  <c:v>16171.038014155161</c:v>
                </c:pt>
                <c:pt idx="9">
                  <c:v>13243.268601652078</c:v>
                </c:pt>
                <c:pt idx="10">
                  <c:v>4619.647720029312</c:v>
                </c:pt>
                <c:pt idx="11">
                  <c:v>3446.658408382893</c:v>
                </c:pt>
              </c:numCache>
            </c:numRef>
          </c:val>
          <c:extLst>
            <c:ext xmlns:c16="http://schemas.microsoft.com/office/drawing/2014/chart" uri="{C3380CC4-5D6E-409C-BE32-E72D297353CC}">
              <c16:uniqueId val="{00000003-39AD-4B0F-BE10-517BC0C188C4}"/>
            </c:ext>
          </c:extLst>
        </c:ser>
        <c:dLbls>
          <c:showLegendKey val="0"/>
          <c:showVal val="0"/>
          <c:showCatName val="0"/>
          <c:showSerName val="0"/>
          <c:showPercent val="0"/>
          <c:showBubbleSize val="0"/>
        </c:dLbls>
        <c:axId val="683539192"/>
        <c:axId val="683545464"/>
      </c:areaChart>
      <c:lineChart>
        <c:grouping val="standard"/>
        <c:varyColors val="0"/>
        <c:ser>
          <c:idx val="4"/>
          <c:order val="4"/>
          <c:tx>
            <c:v>All Visitors Monthly Totals</c:v>
          </c:tx>
          <c:spPr>
            <a:ln w="63500" cap="rnd">
              <a:solidFill>
                <a:schemeClr val="accent5"/>
              </a:solidFill>
              <a:round/>
            </a:ln>
            <a:effectLst>
              <a:outerShdw blurRad="63500" sx="102000" sy="102000" algn="ctr" rotWithShape="0">
                <a:schemeClr val="bg1">
                  <a:alpha val="75000"/>
                </a:schemeClr>
              </a:outerShdw>
            </a:effectLst>
          </c:spPr>
          <c:marker>
            <c:symbol val="circle"/>
            <c:size val="5"/>
            <c:spPr>
              <a:solidFill>
                <a:schemeClr val="bg1"/>
              </a:solidFill>
              <a:ln w="9525">
                <a:solidFill>
                  <a:schemeClr val="accent5"/>
                </a:solidFill>
              </a:ln>
              <a:effectLst>
                <a:outerShdw blurRad="63500" sx="102000" sy="102000" algn="ctr" rotWithShape="0">
                  <a:schemeClr val="bg1">
                    <a:alpha val="75000"/>
                  </a:schemeClr>
                </a:outerShdw>
              </a:effectLst>
            </c:spPr>
          </c:marker>
          <c:dLbls>
            <c:spPr>
              <a:solidFill>
                <a:schemeClr val="accent1">
                  <a:alpha val="75000"/>
                </a:schemeClr>
              </a:solidFill>
              <a:ln>
                <a:solidFill>
                  <a:schemeClr val="bg1"/>
                </a:solidFill>
              </a:ln>
              <a:effectLst/>
            </c:spPr>
            <c:txPr>
              <a:bodyPr rot="-5400000" spcFirstLastPara="1" vertOverflow="clip" horzOverflow="clip" vert="horz" wrap="square" lIns="72000" tIns="18288" rIns="72000" bIns="18288" anchor="ctr" anchorCtr="1">
                <a:spAutoFit/>
              </a:bodyPr>
              <a:lstStyle/>
              <a:p>
                <a:pPr>
                  <a:defRPr sz="900" b="0" i="0" u="none" strike="noStrike" kern="1200" baseline="0">
                    <a:solidFill>
                      <a:schemeClr val="bg1"/>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oundRect">
                    <a:avLst/>
                  </a:prstGeom>
                  <a:noFill/>
                  <a:ln>
                    <a:noFill/>
                  </a:ln>
                </c15:spPr>
                <c15:showLeaderLines val="0"/>
              </c:ext>
            </c:extLst>
          </c:dLbls>
          <c:cat>
            <c:strRef>
              <c:f>'MONTHLY DISTRIBUTION'!$F$43:$Q$43</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'MONTHLY DISTRIBUTION'!$F$61:$Q$61</c:f>
              <c:numCache>
                <c:formatCode>#,##0.00</c:formatCode>
                <c:ptCount val="12"/>
                <c:pt idx="0">
                  <c:v>50.980080778049135</c:v>
                </c:pt>
                <c:pt idx="1">
                  <c:v>59.91366461550983</c:v>
                </c:pt>
                <c:pt idx="2">
                  <c:v>135.70320980316131</c:v>
                </c:pt>
                <c:pt idx="3">
                  <c:v>126.45601117664154</c:v>
                </c:pt>
                <c:pt idx="4">
                  <c:v>145.07947425356002</c:v>
                </c:pt>
                <c:pt idx="5">
                  <c:v>162.79563186783298</c:v>
                </c:pt>
                <c:pt idx="6">
                  <c:v>197.72456473614639</c:v>
                </c:pt>
                <c:pt idx="7">
                  <c:v>221.77545943978933</c:v>
                </c:pt>
                <c:pt idx="8">
                  <c:v>158.15706955069675</c:v>
                </c:pt>
                <c:pt idx="9">
                  <c:v>127.05101266127984</c:v>
                </c:pt>
                <c:pt idx="10">
                  <c:v>73.095394381108605</c:v>
                </c:pt>
                <c:pt idx="11">
                  <c:v>64.709797711719858</c:v>
                </c:pt>
              </c:numCache>
            </c:numRef>
          </c:val>
          <c:smooth val="1"/>
          <c:extLst>
            <c:ext xmlns:c16="http://schemas.microsoft.com/office/drawing/2014/chart" uri="{C3380CC4-5D6E-409C-BE32-E72D297353CC}">
              <c16:uniqueId val="{00000004-39AD-4B0F-BE10-517BC0C188C4}"/>
            </c:ext>
          </c:extLst>
        </c:ser>
        <c:dLbls>
          <c:showLegendKey val="0"/>
          <c:showVal val="0"/>
          <c:showCatName val="0"/>
          <c:showSerName val="0"/>
          <c:showPercent val="0"/>
          <c:showBubbleSize val="0"/>
        </c:dLbls>
        <c:marker val="1"/>
        <c:smooth val="0"/>
        <c:axId val="683546640"/>
        <c:axId val="683542328"/>
      </c:lineChart>
      <c:catAx>
        <c:axId val="68353919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83545464"/>
        <c:crosses val="autoZero"/>
        <c:auto val="1"/>
        <c:lblAlgn val="ctr"/>
        <c:lblOffset val="100"/>
        <c:noMultiLvlLbl val="0"/>
      </c:catAx>
      <c:valAx>
        <c:axId val="683545464"/>
        <c:scaling>
          <c:orientation val="minMax"/>
          <c:min val="0"/>
        </c:scaling>
        <c:delete val="0"/>
        <c:axPos val="l"/>
        <c:majorGridlines>
          <c:spPr>
            <a:ln w="9525" cap="flat" cmpd="sng" algn="ctr">
              <a:no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83539192"/>
        <c:crosses val="autoZero"/>
        <c:crossBetween val="between"/>
      </c:valAx>
      <c:valAx>
        <c:axId val="683542328"/>
        <c:scaling>
          <c:orientation val="minMax"/>
        </c:scaling>
        <c:delete val="0"/>
        <c:axPos val="r"/>
        <c:numFmt formatCode=";;;"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n-US"/>
          </a:p>
        </c:txPr>
        <c:crossAx val="683546640"/>
        <c:crosses val="max"/>
        <c:crossBetween val="between"/>
      </c:valAx>
      <c:catAx>
        <c:axId val="683546640"/>
        <c:scaling>
          <c:orientation val="minMax"/>
        </c:scaling>
        <c:delete val="1"/>
        <c:axPos val="b"/>
        <c:numFmt formatCode="General" sourceLinked="1"/>
        <c:majorTickMark val="out"/>
        <c:minorTickMark val="none"/>
        <c:tickLblPos val="nextTo"/>
        <c:crossAx val="683542328"/>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areaChart>
        <c:grouping val="percentStacked"/>
        <c:varyColors val="0"/>
        <c:ser>
          <c:idx val="0"/>
          <c:order val="0"/>
          <c:tx>
            <c:strRef>
              <c:f>'MONTHLY DISTRIBUTION'!$E$48</c:f>
              <c:strCache>
                <c:ptCount val="1"/>
                <c:pt idx="0">
                  <c:v>Serviced Accommodation</c:v>
                </c:pt>
              </c:strCache>
            </c:strRef>
          </c:tx>
          <c:spPr>
            <a:solidFill>
              <a:schemeClr val="accent3">
                <a:lumMod val="20000"/>
                <a:lumOff val="80000"/>
              </a:schemeClr>
            </a:solidFill>
            <a:ln w="25400">
              <a:noFill/>
            </a:ln>
            <a:effectLst/>
          </c:spPr>
          <c:cat>
            <c:strRef>
              <c:f>'MONTHLY DISTRIBUTION'!$F$43:$Q$43</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'MONTHLY DISTRIBUTION'!$F$48:$Q$48</c:f>
              <c:numCache>
                <c:formatCode>#,##0.0</c:formatCode>
                <c:ptCount val="12"/>
                <c:pt idx="0">
                  <c:v>13.479031487465193</c:v>
                </c:pt>
                <c:pt idx="1">
                  <c:v>29.426035474521576</c:v>
                </c:pt>
                <c:pt idx="2">
                  <c:v>40.543097767738665</c:v>
                </c:pt>
                <c:pt idx="3">
                  <c:v>54.009610358888224</c:v>
                </c:pt>
                <c:pt idx="4">
                  <c:v>61.556811208551778</c:v>
                </c:pt>
                <c:pt idx="5">
                  <c:v>69.707504505213763</c:v>
                </c:pt>
                <c:pt idx="6">
                  <c:v>96.342172512145552</c:v>
                </c:pt>
                <c:pt idx="7">
                  <c:v>98.461112321109113</c:v>
                </c:pt>
                <c:pt idx="8">
                  <c:v>57.114742528830931</c:v>
                </c:pt>
                <c:pt idx="9">
                  <c:v>69.083171319025652</c:v>
                </c:pt>
                <c:pt idx="10">
                  <c:v>49.174261662196216</c:v>
                </c:pt>
                <c:pt idx="11">
                  <c:v>37.712107957250055</c:v>
                </c:pt>
              </c:numCache>
            </c:numRef>
          </c:val>
          <c:extLst>
            <c:ext xmlns:c16="http://schemas.microsoft.com/office/drawing/2014/chart" uri="{C3380CC4-5D6E-409C-BE32-E72D297353CC}">
              <c16:uniqueId val="{00000000-AF34-4F39-A9F5-408CB8DE8C08}"/>
            </c:ext>
          </c:extLst>
        </c:ser>
        <c:ser>
          <c:idx val="1"/>
          <c:order val="1"/>
          <c:tx>
            <c:strRef>
              <c:f>'MONTHLY DISTRIBUTION'!$E$49</c:f>
              <c:strCache>
                <c:ptCount val="1"/>
                <c:pt idx="0">
                  <c:v>Non-Serviced Accommodation</c:v>
                </c:pt>
              </c:strCache>
            </c:strRef>
          </c:tx>
          <c:spPr>
            <a:solidFill>
              <a:schemeClr val="accent3">
                <a:lumMod val="40000"/>
                <a:lumOff val="60000"/>
              </a:schemeClr>
            </a:solidFill>
            <a:ln w="25400">
              <a:noFill/>
            </a:ln>
            <a:effectLst/>
          </c:spPr>
          <c:cat>
            <c:strRef>
              <c:f>'MONTHLY DISTRIBUTION'!$F$43:$Q$43</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'MONTHLY DISTRIBUTION'!$F$49:$Q$49</c:f>
              <c:numCache>
                <c:formatCode>#,##0.0</c:formatCode>
                <c:ptCount val="12"/>
                <c:pt idx="0">
                  <c:v>200.99516360151932</c:v>
                </c:pt>
                <c:pt idx="1">
                  <c:v>190.02211401925135</c:v>
                </c:pt>
                <c:pt idx="2">
                  <c:v>390.29598881522105</c:v>
                </c:pt>
                <c:pt idx="3">
                  <c:v>253.28635790881773</c:v>
                </c:pt>
                <c:pt idx="4">
                  <c:v>289.22735022676324</c:v>
                </c:pt>
                <c:pt idx="5">
                  <c:v>306.81682857366621</c:v>
                </c:pt>
                <c:pt idx="6">
                  <c:v>347.07649879611813</c:v>
                </c:pt>
                <c:pt idx="7">
                  <c:v>349.40917067966456</c:v>
                </c:pt>
                <c:pt idx="8">
                  <c:v>296.63018493025965</c:v>
                </c:pt>
                <c:pt idx="9">
                  <c:v>265.4223382586872</c:v>
                </c:pt>
                <c:pt idx="10">
                  <c:v>215.47669959312333</c:v>
                </c:pt>
                <c:pt idx="11">
                  <c:v>151.40581383226302</c:v>
                </c:pt>
              </c:numCache>
            </c:numRef>
          </c:val>
          <c:extLst>
            <c:ext xmlns:c16="http://schemas.microsoft.com/office/drawing/2014/chart" uri="{C3380CC4-5D6E-409C-BE32-E72D297353CC}">
              <c16:uniqueId val="{00000001-AF34-4F39-A9F5-408CB8DE8C08}"/>
            </c:ext>
          </c:extLst>
        </c:ser>
        <c:ser>
          <c:idx val="2"/>
          <c:order val="2"/>
          <c:tx>
            <c:strRef>
              <c:f>'MONTHLY DISTRIBUTION'!$E$50</c:f>
              <c:strCache>
                <c:ptCount val="1"/>
                <c:pt idx="0">
                  <c:v>SFR</c:v>
                </c:pt>
              </c:strCache>
            </c:strRef>
          </c:tx>
          <c:spPr>
            <a:solidFill>
              <a:schemeClr val="accent3">
                <a:lumMod val="60000"/>
                <a:lumOff val="40000"/>
              </a:schemeClr>
            </a:solidFill>
            <a:ln w="25400">
              <a:noFill/>
            </a:ln>
            <a:effectLst/>
          </c:spPr>
          <c:cat>
            <c:strRef>
              <c:f>'MONTHLY DISTRIBUTION'!$F$43:$Q$43</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'MONTHLY DISTRIBUTION'!$F$50:$Q$50</c:f>
              <c:numCache>
                <c:formatCode>#,##0.0</c:formatCode>
                <c:ptCount val="12"/>
                <c:pt idx="0">
                  <c:v>23.946545454545451</c:v>
                </c:pt>
                <c:pt idx="1">
                  <c:v>9.5786181818181806</c:v>
                </c:pt>
                <c:pt idx="2">
                  <c:v>10.642909090909091</c:v>
                </c:pt>
                <c:pt idx="3">
                  <c:v>20.221527272727268</c:v>
                </c:pt>
                <c:pt idx="4">
                  <c:v>15.964363636363636</c:v>
                </c:pt>
                <c:pt idx="5">
                  <c:v>12.883241454545454</c:v>
                </c:pt>
                <c:pt idx="6">
                  <c:v>17.5608</c:v>
                </c:pt>
                <c:pt idx="7">
                  <c:v>17.874765818181814</c:v>
                </c:pt>
                <c:pt idx="8">
                  <c:v>11.031375272727274</c:v>
                </c:pt>
                <c:pt idx="9">
                  <c:v>11.175054545454545</c:v>
                </c:pt>
                <c:pt idx="10">
                  <c:v>9.1795090909090913</c:v>
                </c:pt>
                <c:pt idx="11">
                  <c:v>20.753672727272725</c:v>
                </c:pt>
              </c:numCache>
            </c:numRef>
          </c:val>
          <c:extLst>
            <c:ext xmlns:c16="http://schemas.microsoft.com/office/drawing/2014/chart" uri="{C3380CC4-5D6E-409C-BE32-E72D297353CC}">
              <c16:uniqueId val="{00000002-AF34-4F39-A9F5-408CB8DE8C08}"/>
            </c:ext>
          </c:extLst>
        </c:ser>
        <c:ser>
          <c:idx val="3"/>
          <c:order val="3"/>
          <c:tx>
            <c:strRef>
              <c:f>'MONTHLY DISTRIBUTION'!$E$51</c:f>
              <c:strCache>
                <c:ptCount val="1"/>
                <c:pt idx="0">
                  <c:v>Day Visitor</c:v>
                </c:pt>
              </c:strCache>
            </c:strRef>
          </c:tx>
          <c:spPr>
            <a:solidFill>
              <a:srgbClr val="FFFF00"/>
            </a:solidFill>
            <a:ln w="25400">
              <a:noFill/>
            </a:ln>
            <a:effectLst/>
          </c:spPr>
          <c:cat>
            <c:strRef>
              <c:f>'MONTHLY DISTRIBUTION'!$F$43:$Q$43</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'MONTHLY DISTRIBUTION'!$F$51:$Q$51</c:f>
              <c:numCache>
                <c:formatCode>#,##0.0</c:formatCode>
                <c:ptCount val="12"/>
                <c:pt idx="0">
                  <c:v>48.695462239128972</c:v>
                </c:pt>
                <c:pt idx="1">
                  <c:v>82.326435766229338</c:v>
                </c:pt>
                <c:pt idx="2">
                  <c:v>301.88489490866897</c:v>
                </c:pt>
                <c:pt idx="3">
                  <c:v>446.21603155377841</c:v>
                </c:pt>
                <c:pt idx="4">
                  <c:v>413.76972325088121</c:v>
                </c:pt>
                <c:pt idx="5">
                  <c:v>583.70112906602549</c:v>
                </c:pt>
                <c:pt idx="6">
                  <c:v>499.74235214323716</c:v>
                </c:pt>
                <c:pt idx="7">
                  <c:v>707.69313833447507</c:v>
                </c:pt>
                <c:pt idx="8">
                  <c:v>295.45235543163977</c:v>
                </c:pt>
                <c:pt idx="9">
                  <c:v>241.9606520340248</c:v>
                </c:pt>
                <c:pt idx="10">
                  <c:v>84.403103805230359</c:v>
                </c:pt>
                <c:pt idx="11">
                  <c:v>62.972045717387637</c:v>
                </c:pt>
              </c:numCache>
            </c:numRef>
          </c:val>
          <c:extLst>
            <c:ext xmlns:c16="http://schemas.microsoft.com/office/drawing/2014/chart" uri="{C3380CC4-5D6E-409C-BE32-E72D297353CC}">
              <c16:uniqueId val="{00000003-AF34-4F39-A9F5-408CB8DE8C08}"/>
            </c:ext>
          </c:extLst>
        </c:ser>
        <c:dLbls>
          <c:showLegendKey val="0"/>
          <c:showVal val="0"/>
          <c:showCatName val="0"/>
          <c:showSerName val="0"/>
          <c:showPercent val="0"/>
          <c:showBubbleSize val="0"/>
        </c:dLbls>
        <c:axId val="683548600"/>
        <c:axId val="683536840"/>
      </c:areaChart>
      <c:lineChart>
        <c:grouping val="standard"/>
        <c:varyColors val="0"/>
        <c:ser>
          <c:idx val="4"/>
          <c:order val="4"/>
          <c:tx>
            <c:v>All Visitors Monthly Totals</c:v>
          </c:tx>
          <c:spPr>
            <a:ln w="63500" cap="rnd">
              <a:solidFill>
                <a:srgbClr val="00B050"/>
              </a:solidFill>
              <a:round/>
            </a:ln>
            <a:effectLst>
              <a:outerShdw blurRad="63500" sx="102000" sy="102000" algn="ctr" rotWithShape="0">
                <a:schemeClr val="bg1">
                  <a:alpha val="75000"/>
                </a:schemeClr>
              </a:outerShdw>
            </a:effectLst>
          </c:spPr>
          <c:marker>
            <c:symbol val="circle"/>
            <c:size val="5"/>
            <c:spPr>
              <a:solidFill>
                <a:schemeClr val="bg1"/>
              </a:solidFill>
              <a:ln w="9525">
                <a:solidFill>
                  <a:schemeClr val="accent5"/>
                </a:solidFill>
              </a:ln>
              <a:effectLst>
                <a:outerShdw blurRad="63500" sx="102000" sy="102000" algn="ctr" rotWithShape="0">
                  <a:schemeClr val="bg1">
                    <a:alpha val="75000"/>
                  </a:schemeClr>
                </a:outerShdw>
              </a:effectLst>
            </c:spPr>
          </c:marker>
          <c:dLbls>
            <c:spPr>
              <a:solidFill>
                <a:srgbClr val="00B050">
                  <a:alpha val="75000"/>
                </a:srgbClr>
              </a:solidFill>
              <a:ln>
                <a:solidFill>
                  <a:schemeClr val="bg1"/>
                </a:solidFill>
              </a:ln>
              <a:effectLst/>
            </c:spPr>
            <c:txPr>
              <a:bodyPr rot="-5400000" spcFirstLastPara="1" vertOverflow="clip" horzOverflow="clip" vert="horz" wrap="square" lIns="72000" tIns="18288" rIns="72000" bIns="18288" anchor="ctr" anchorCtr="1">
                <a:spAutoFit/>
              </a:bodyPr>
              <a:lstStyle/>
              <a:p>
                <a:pPr>
                  <a:defRPr sz="900" b="0" i="0" u="none" strike="noStrike" kern="1200" baseline="0">
                    <a:solidFill>
                      <a:schemeClr val="bg1"/>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oundRect">
                    <a:avLst/>
                  </a:prstGeom>
                  <a:noFill/>
                  <a:ln>
                    <a:noFill/>
                  </a:ln>
                </c15:spPr>
                <c15:showLeaderLines val="0"/>
              </c:ext>
            </c:extLst>
          </c:dLbls>
          <c:cat>
            <c:strRef>
              <c:f>'MONTHLY DISTRIBUTION'!$F$43:$Q$43</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'MONTHLY DISTRIBUTION'!$F$62:$Q$62</c:f>
              <c:numCache>
                <c:formatCode>#,##0.00</c:formatCode>
                <c:ptCount val="12"/>
                <c:pt idx="0">
                  <c:v>287.11620278265895</c:v>
                </c:pt>
                <c:pt idx="1">
                  <c:v>311.35320344182043</c:v>
                </c:pt>
                <c:pt idx="2">
                  <c:v>743.36689058253774</c:v>
                </c:pt>
                <c:pt idx="3">
                  <c:v>773.73352709421169</c:v>
                </c:pt>
                <c:pt idx="4">
                  <c:v>780.51824832255988</c:v>
                </c:pt>
                <c:pt idx="5">
                  <c:v>973.10870359945091</c:v>
                </c:pt>
                <c:pt idx="6">
                  <c:v>960.72182345150077</c:v>
                </c:pt>
                <c:pt idx="7">
                  <c:v>1173.4381871534306</c:v>
                </c:pt>
                <c:pt idx="8">
                  <c:v>660.22865816345757</c:v>
                </c:pt>
                <c:pt idx="9">
                  <c:v>587.64121615719228</c:v>
                </c:pt>
                <c:pt idx="10">
                  <c:v>358.23357415145904</c:v>
                </c:pt>
                <c:pt idx="11">
                  <c:v>272.84364023417345</c:v>
                </c:pt>
              </c:numCache>
            </c:numRef>
          </c:val>
          <c:smooth val="1"/>
          <c:extLst>
            <c:ext xmlns:c16="http://schemas.microsoft.com/office/drawing/2014/chart" uri="{C3380CC4-5D6E-409C-BE32-E72D297353CC}">
              <c16:uniqueId val="{00000004-AF34-4F39-A9F5-408CB8DE8C08}"/>
            </c:ext>
          </c:extLst>
        </c:ser>
        <c:dLbls>
          <c:showLegendKey val="0"/>
          <c:showVal val="0"/>
          <c:showCatName val="0"/>
          <c:showSerName val="0"/>
          <c:showPercent val="0"/>
          <c:showBubbleSize val="0"/>
        </c:dLbls>
        <c:marker val="1"/>
        <c:smooth val="0"/>
        <c:axId val="683547816"/>
        <c:axId val="683544288"/>
      </c:lineChart>
      <c:catAx>
        <c:axId val="68354860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83536840"/>
        <c:crosses val="autoZero"/>
        <c:auto val="1"/>
        <c:lblAlgn val="ctr"/>
        <c:lblOffset val="100"/>
        <c:noMultiLvlLbl val="0"/>
      </c:catAx>
      <c:valAx>
        <c:axId val="683536840"/>
        <c:scaling>
          <c:orientation val="minMax"/>
          <c:min val="0"/>
        </c:scaling>
        <c:delete val="0"/>
        <c:axPos val="l"/>
        <c:majorGridlines>
          <c:spPr>
            <a:ln w="9525" cap="flat" cmpd="sng" algn="ctr">
              <a:no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83548600"/>
        <c:crosses val="autoZero"/>
        <c:crossBetween val="between"/>
      </c:valAx>
      <c:valAx>
        <c:axId val="683544288"/>
        <c:scaling>
          <c:orientation val="minMax"/>
        </c:scaling>
        <c:delete val="0"/>
        <c:axPos val="r"/>
        <c:numFmt formatCode=";;;"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n-US"/>
          </a:p>
        </c:txPr>
        <c:crossAx val="683547816"/>
        <c:crosses val="max"/>
        <c:crossBetween val="between"/>
      </c:valAx>
      <c:catAx>
        <c:axId val="683547816"/>
        <c:scaling>
          <c:orientation val="minMax"/>
        </c:scaling>
        <c:delete val="1"/>
        <c:axPos val="b"/>
        <c:numFmt formatCode="General" sourceLinked="1"/>
        <c:majorTickMark val="out"/>
        <c:minorTickMark val="none"/>
        <c:tickLblPos val="nextTo"/>
        <c:crossAx val="683544288"/>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areaChart>
        <c:grouping val="percentStacked"/>
        <c:varyColors val="0"/>
        <c:ser>
          <c:idx val="0"/>
          <c:order val="0"/>
          <c:tx>
            <c:strRef>
              <c:f>'MONTHLY DISTRIBUTION'!$E$56</c:f>
              <c:strCache>
                <c:ptCount val="1"/>
                <c:pt idx="0">
                  <c:v>Serviced Accommodation</c:v>
                </c:pt>
              </c:strCache>
            </c:strRef>
          </c:tx>
          <c:spPr>
            <a:solidFill>
              <a:schemeClr val="accent3">
                <a:lumMod val="20000"/>
                <a:lumOff val="80000"/>
              </a:schemeClr>
            </a:solidFill>
            <a:ln w="25400">
              <a:noFill/>
            </a:ln>
            <a:effectLst/>
          </c:spPr>
          <c:cat>
            <c:strRef>
              <c:f>'MONTHLY DISTRIBUTION'!$F$43:$Q$43</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'MONTHLY DISTRIBUTION'!$F$56:$Q$56</c:f>
              <c:numCache>
                <c:formatCode>#,##0</c:formatCode>
                <c:ptCount val="12"/>
                <c:pt idx="0">
                  <c:v>1480.2393812599717</c:v>
                </c:pt>
                <c:pt idx="1">
                  <c:v>1639.2834387191192</c:v>
                </c:pt>
                <c:pt idx="2">
                  <c:v>1872.4086768262434</c:v>
                </c:pt>
                <c:pt idx="3">
                  <c:v>1951.5551420397396</c:v>
                </c:pt>
                <c:pt idx="4">
                  <c:v>2043.2435394976956</c:v>
                </c:pt>
                <c:pt idx="5">
                  <c:v>2071.3468620626918</c:v>
                </c:pt>
                <c:pt idx="6">
                  <c:v>2663.403232045609</c:v>
                </c:pt>
                <c:pt idx="7">
                  <c:v>2717.9008771830431</c:v>
                </c:pt>
                <c:pt idx="8">
                  <c:v>2021.8445061020368</c:v>
                </c:pt>
                <c:pt idx="9">
                  <c:v>2055.2311494676828</c:v>
                </c:pt>
                <c:pt idx="10">
                  <c:v>1826.2812658667544</c:v>
                </c:pt>
                <c:pt idx="11">
                  <c:v>1727.5007124071728</c:v>
                </c:pt>
              </c:numCache>
            </c:numRef>
          </c:val>
          <c:extLst>
            <c:ext xmlns:c16="http://schemas.microsoft.com/office/drawing/2014/chart" uri="{C3380CC4-5D6E-409C-BE32-E72D297353CC}">
              <c16:uniqueId val="{00000000-7C0C-4408-BBC0-D926C947659E}"/>
            </c:ext>
          </c:extLst>
        </c:ser>
        <c:ser>
          <c:idx val="1"/>
          <c:order val="1"/>
          <c:tx>
            <c:strRef>
              <c:f>'MONTHLY DISTRIBUTION'!$E$57</c:f>
              <c:strCache>
                <c:ptCount val="1"/>
                <c:pt idx="0">
                  <c:v>Non-Serviced Accommodation</c:v>
                </c:pt>
              </c:strCache>
            </c:strRef>
          </c:tx>
          <c:spPr>
            <a:solidFill>
              <a:schemeClr val="accent3">
                <a:lumMod val="40000"/>
                <a:lumOff val="60000"/>
              </a:schemeClr>
            </a:solidFill>
            <a:ln w="25400">
              <a:noFill/>
            </a:ln>
            <a:effectLst/>
          </c:spPr>
          <c:cat>
            <c:strRef>
              <c:f>'MONTHLY DISTRIBUTION'!$F$43:$Q$43</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'MONTHLY DISTRIBUTION'!$F$57:$Q$57</c:f>
              <c:numCache>
                <c:formatCode>#,##0</c:formatCode>
                <c:ptCount val="12"/>
                <c:pt idx="0">
                  <c:v>6527.0860471340657</c:v>
                </c:pt>
                <c:pt idx="1">
                  <c:v>8504.3958891795064</c:v>
                </c:pt>
                <c:pt idx="2">
                  <c:v>12328.208710334839</c:v>
                </c:pt>
                <c:pt idx="3">
                  <c:v>10293.565218769823</c:v>
                </c:pt>
                <c:pt idx="4">
                  <c:v>11839.952335848262</c:v>
                </c:pt>
                <c:pt idx="5">
                  <c:v>12503.859279850525</c:v>
                </c:pt>
                <c:pt idx="6">
                  <c:v>13594.334676025768</c:v>
                </c:pt>
                <c:pt idx="7">
                  <c:v>14459.979467213441</c:v>
                </c:pt>
                <c:pt idx="8">
                  <c:v>11832.097814329041</c:v>
                </c:pt>
                <c:pt idx="9">
                  <c:v>11152.063625523788</c:v>
                </c:pt>
                <c:pt idx="10">
                  <c:v>7376.4518195449982</c:v>
                </c:pt>
                <c:pt idx="11">
                  <c:v>6704.2007208301766</c:v>
                </c:pt>
              </c:numCache>
            </c:numRef>
          </c:val>
          <c:extLst>
            <c:ext xmlns:c16="http://schemas.microsoft.com/office/drawing/2014/chart" uri="{C3380CC4-5D6E-409C-BE32-E72D297353CC}">
              <c16:uniqueId val="{00000001-7C0C-4408-BBC0-D926C947659E}"/>
            </c:ext>
          </c:extLst>
        </c:ser>
        <c:ser>
          <c:idx val="2"/>
          <c:order val="2"/>
          <c:tx>
            <c:strRef>
              <c:f>'MONTHLY DISTRIBUTION'!$E$58</c:f>
              <c:strCache>
                <c:ptCount val="1"/>
                <c:pt idx="0">
                  <c:v>SFR</c:v>
                </c:pt>
              </c:strCache>
            </c:strRef>
          </c:tx>
          <c:spPr>
            <a:solidFill>
              <a:schemeClr val="accent3">
                <a:lumMod val="60000"/>
                <a:lumOff val="40000"/>
              </a:schemeClr>
            </a:solidFill>
            <a:ln w="25400">
              <a:noFill/>
            </a:ln>
            <a:effectLst/>
          </c:spPr>
          <c:cat>
            <c:strRef>
              <c:f>'MONTHLY DISTRIBUTION'!$F$43:$Q$43</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'MONTHLY DISTRIBUTION'!$F$58:$Q$58</c:f>
              <c:numCache>
                <c:formatCode>#,##0</c:formatCode>
                <c:ptCount val="12"/>
                <c:pt idx="0">
                  <c:v>234.95869632107483</c:v>
                </c:pt>
                <c:pt idx="1">
                  <c:v>78.94612196388114</c:v>
                </c:pt>
                <c:pt idx="2">
                  <c:v>89.806435038277485</c:v>
                </c:pt>
                <c:pt idx="3">
                  <c:v>208.55602792428451</c:v>
                </c:pt>
                <c:pt idx="4">
                  <c:v>134.15884837234677</c:v>
                </c:pt>
                <c:pt idx="5">
                  <c:v>103.34500015300728</c:v>
                </c:pt>
                <c:pt idx="6">
                  <c:v>167.69856046543347</c:v>
                </c:pt>
                <c:pt idx="7">
                  <c:v>177.52467975379591</c:v>
                </c:pt>
                <c:pt idx="8">
                  <c:v>91.439621985855823</c:v>
                </c:pt>
                <c:pt idx="9">
                  <c:v>91.349979482625187</c:v>
                </c:pt>
                <c:pt idx="10">
                  <c:v>71.180416255737171</c:v>
                </c:pt>
                <c:pt idx="11">
                  <c:v>206.1167761356964</c:v>
                </c:pt>
              </c:numCache>
            </c:numRef>
          </c:val>
          <c:extLst>
            <c:ext xmlns:c16="http://schemas.microsoft.com/office/drawing/2014/chart" uri="{C3380CC4-5D6E-409C-BE32-E72D297353CC}">
              <c16:uniqueId val="{00000002-7C0C-4408-BBC0-D926C947659E}"/>
            </c:ext>
          </c:extLst>
        </c:ser>
        <c:ser>
          <c:idx val="3"/>
          <c:order val="3"/>
          <c:tx>
            <c:strRef>
              <c:f>'MONTHLY DISTRIBUTION'!$E$59</c:f>
              <c:strCache>
                <c:ptCount val="1"/>
                <c:pt idx="0">
                  <c:v>Day Visitor</c:v>
                </c:pt>
              </c:strCache>
            </c:strRef>
          </c:tx>
          <c:spPr>
            <a:solidFill>
              <a:srgbClr val="FFFF00"/>
            </a:solidFill>
            <a:ln w="25400">
              <a:noFill/>
            </a:ln>
            <a:effectLst/>
          </c:spPr>
          <c:cat>
            <c:strRef>
              <c:f>'MONTHLY DISTRIBUTION'!$F$43:$Q$43</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'MONTHLY DISTRIBUTION'!$F$59:$Q$59</c:f>
              <c:numCache>
                <c:formatCode>#,##0</c:formatCode>
                <c:ptCount val="12"/>
                <c:pt idx="0">
                  <c:v>243.83502495580095</c:v>
                </c:pt>
                <c:pt idx="1">
                  <c:v>412.23694357808694</c:v>
                </c:pt>
                <c:pt idx="2">
                  <c:v>1511.6421017292582</c:v>
                </c:pt>
                <c:pt idx="3">
                  <c:v>2193.5501476437335</c:v>
                </c:pt>
                <c:pt idx="4">
                  <c:v>2034.0475763880959</c:v>
                </c:pt>
                <c:pt idx="5">
                  <c:v>2869.4121396404407</c:v>
                </c:pt>
                <c:pt idx="6">
                  <c:v>2456.6797981472973</c:v>
                </c:pt>
                <c:pt idx="7">
                  <c:v>3478.9435571701388</c:v>
                </c:pt>
                <c:pt idx="8">
                  <c:v>1452.4120875308661</c:v>
                </c:pt>
                <c:pt idx="9">
                  <c:v>1189.4526114291843</c:v>
                </c:pt>
                <c:pt idx="10">
                  <c:v>414.91660478639443</c:v>
                </c:pt>
                <c:pt idx="11">
                  <c:v>309.5638220343854</c:v>
                </c:pt>
              </c:numCache>
            </c:numRef>
          </c:val>
          <c:extLst>
            <c:ext xmlns:c16="http://schemas.microsoft.com/office/drawing/2014/chart" uri="{C3380CC4-5D6E-409C-BE32-E72D297353CC}">
              <c16:uniqueId val="{00000003-7C0C-4408-BBC0-D926C947659E}"/>
            </c:ext>
          </c:extLst>
        </c:ser>
        <c:dLbls>
          <c:showLegendKey val="0"/>
          <c:showVal val="0"/>
          <c:showCatName val="0"/>
          <c:showSerName val="0"/>
          <c:showPercent val="0"/>
          <c:showBubbleSize val="0"/>
        </c:dLbls>
        <c:axId val="683548208"/>
        <c:axId val="683544680"/>
      </c:areaChart>
      <c:lineChart>
        <c:grouping val="standard"/>
        <c:varyColors val="0"/>
        <c:ser>
          <c:idx val="4"/>
          <c:order val="4"/>
          <c:tx>
            <c:v>All Visitors Monthly Totals</c:v>
          </c:tx>
          <c:spPr>
            <a:ln w="63500" cap="rnd">
              <a:solidFill>
                <a:schemeClr val="accent6"/>
              </a:solidFill>
              <a:round/>
            </a:ln>
            <a:effectLst>
              <a:outerShdw blurRad="63500" sx="102000" sy="102000" algn="ctr" rotWithShape="0">
                <a:schemeClr val="bg1">
                  <a:alpha val="75000"/>
                </a:schemeClr>
              </a:outerShdw>
            </a:effectLst>
          </c:spPr>
          <c:marker>
            <c:symbol val="circle"/>
            <c:size val="5"/>
            <c:spPr>
              <a:solidFill>
                <a:schemeClr val="bg1"/>
              </a:solidFill>
              <a:ln w="9525">
                <a:solidFill>
                  <a:schemeClr val="accent5"/>
                </a:solidFill>
              </a:ln>
              <a:effectLst>
                <a:outerShdw blurRad="63500" sx="102000" sy="102000" algn="ctr" rotWithShape="0">
                  <a:schemeClr val="bg1">
                    <a:alpha val="75000"/>
                  </a:schemeClr>
                </a:outerShdw>
              </a:effectLst>
            </c:spPr>
          </c:marker>
          <c:dLbls>
            <c:spPr>
              <a:solidFill>
                <a:schemeClr val="accent6">
                  <a:lumMod val="60000"/>
                  <a:lumOff val="40000"/>
                  <a:alpha val="75000"/>
                </a:schemeClr>
              </a:solidFill>
              <a:ln>
                <a:solidFill>
                  <a:schemeClr val="bg1"/>
                </a:solidFill>
              </a:ln>
              <a:effectLst/>
            </c:spPr>
            <c:txPr>
              <a:bodyPr rot="-5400000" spcFirstLastPara="1" vertOverflow="clip" horzOverflow="clip" vert="horz" wrap="square" lIns="72000" tIns="18360" rIns="108000" bIns="1836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oundRect">
                    <a:avLst/>
                  </a:prstGeom>
                  <a:noFill/>
                  <a:ln>
                    <a:noFill/>
                  </a:ln>
                </c15:spPr>
                <c15:showLeaderLines val="1"/>
                <c15:leaderLines>
                  <c:spPr>
                    <a:ln w="9525" cap="flat" cmpd="sng" algn="ctr">
                      <a:solidFill>
                        <a:schemeClr val="tx1">
                          <a:lumMod val="35000"/>
                          <a:lumOff val="65000"/>
                        </a:schemeClr>
                      </a:solidFill>
                      <a:round/>
                    </a:ln>
                    <a:effectLst/>
                  </c:spPr>
                </c15:leaderLines>
              </c:ext>
            </c:extLst>
          </c:dLbls>
          <c:cat>
            <c:strRef>
              <c:f>'MONTHLY DISTRIBUTION'!$F$43:$Q$43</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'MONTHLY DISTRIBUTION'!$F$64:$Q$64</c:f>
              <c:numCache>
                <c:formatCode>#,##0</c:formatCode>
                <c:ptCount val="12"/>
                <c:pt idx="0">
                  <c:v>9997.1486984767216</c:v>
                </c:pt>
                <c:pt idx="1">
                  <c:v>12395.650372223936</c:v>
                </c:pt>
                <c:pt idx="2">
                  <c:v>19527.204758457621</c:v>
                </c:pt>
                <c:pt idx="3">
                  <c:v>18068.053762026098</c:v>
                </c:pt>
                <c:pt idx="4">
                  <c:v>19975.444997446422</c:v>
                </c:pt>
                <c:pt idx="5">
                  <c:v>21914.047501219578</c:v>
                </c:pt>
                <c:pt idx="6">
                  <c:v>24164.477429457402</c:v>
                </c:pt>
                <c:pt idx="7">
                  <c:v>26743.172878035679</c:v>
                </c:pt>
                <c:pt idx="8">
                  <c:v>19688.738715199102</c:v>
                </c:pt>
                <c:pt idx="9">
                  <c:v>17923.426966572366</c:v>
                </c:pt>
                <c:pt idx="10">
                  <c:v>11692.158009632874</c:v>
                </c:pt>
                <c:pt idx="11">
                  <c:v>10750.031006683594</c:v>
                </c:pt>
              </c:numCache>
            </c:numRef>
          </c:val>
          <c:smooth val="1"/>
          <c:extLst>
            <c:ext xmlns:c16="http://schemas.microsoft.com/office/drawing/2014/chart" uri="{C3380CC4-5D6E-409C-BE32-E72D297353CC}">
              <c16:uniqueId val="{00000004-7C0C-4408-BBC0-D926C947659E}"/>
            </c:ext>
          </c:extLst>
        </c:ser>
        <c:dLbls>
          <c:showLegendKey val="0"/>
          <c:showVal val="0"/>
          <c:showCatName val="0"/>
          <c:showSerName val="0"/>
          <c:showPercent val="0"/>
          <c:showBubbleSize val="0"/>
        </c:dLbls>
        <c:marker val="1"/>
        <c:smooth val="0"/>
        <c:axId val="683537624"/>
        <c:axId val="683545856"/>
      </c:lineChart>
      <c:catAx>
        <c:axId val="68354820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83544680"/>
        <c:crosses val="autoZero"/>
        <c:auto val="1"/>
        <c:lblAlgn val="ctr"/>
        <c:lblOffset val="100"/>
        <c:noMultiLvlLbl val="0"/>
      </c:catAx>
      <c:valAx>
        <c:axId val="683544680"/>
        <c:scaling>
          <c:orientation val="minMax"/>
          <c:min val="0"/>
        </c:scaling>
        <c:delete val="0"/>
        <c:axPos val="l"/>
        <c:majorGridlines>
          <c:spPr>
            <a:ln w="9525" cap="flat" cmpd="sng" algn="ctr">
              <a:no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83548208"/>
        <c:crosses val="autoZero"/>
        <c:crossBetween val="between"/>
      </c:valAx>
      <c:valAx>
        <c:axId val="683545856"/>
        <c:scaling>
          <c:orientation val="minMax"/>
        </c:scaling>
        <c:delete val="0"/>
        <c:axPos val="r"/>
        <c:numFmt formatCode=";;;"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n-US"/>
          </a:p>
        </c:txPr>
        <c:crossAx val="683537624"/>
        <c:crosses val="max"/>
        <c:crossBetween val="between"/>
      </c:valAx>
      <c:catAx>
        <c:axId val="683537624"/>
        <c:scaling>
          <c:orientation val="minMax"/>
        </c:scaling>
        <c:delete val="1"/>
        <c:axPos val="b"/>
        <c:numFmt formatCode="General" sourceLinked="1"/>
        <c:majorTickMark val="out"/>
        <c:minorTickMark val="none"/>
        <c:tickLblPos val="nextTo"/>
        <c:crossAx val="68354585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areaChart>
        <c:grouping val="percentStacked"/>
        <c:varyColors val="0"/>
        <c:ser>
          <c:idx val="0"/>
          <c:order val="0"/>
          <c:tx>
            <c:strRef>
              <c:f>'MONTHLY DISTRIBUTION'!$E$52</c:f>
              <c:strCache>
                <c:ptCount val="1"/>
                <c:pt idx="0">
                  <c:v>Serviced Accommodation</c:v>
                </c:pt>
              </c:strCache>
            </c:strRef>
          </c:tx>
          <c:spPr>
            <a:solidFill>
              <a:schemeClr val="accent3">
                <a:lumMod val="20000"/>
                <a:lumOff val="80000"/>
              </a:schemeClr>
            </a:solidFill>
            <a:ln w="25400">
              <a:noFill/>
            </a:ln>
            <a:effectLst/>
          </c:spPr>
          <c:cat>
            <c:strRef>
              <c:f>'MONTHLY DISTRIBUTION'!$F$43:$Q$43</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'MONTHLY DISTRIBUTION'!$F$52:$Q$52</c:f>
              <c:numCache>
                <c:formatCode>#,##0.0</c:formatCode>
                <c:ptCount val="12"/>
                <c:pt idx="0">
                  <c:v>20.434821961091778</c:v>
                </c:pt>
                <c:pt idx="1">
                  <c:v>45.26710530254914</c:v>
                </c:pt>
                <c:pt idx="2">
                  <c:v>82.942713906765363</c:v>
                </c:pt>
                <c:pt idx="3">
                  <c:v>97.932856262654198</c:v>
                </c:pt>
                <c:pt idx="4">
                  <c:v>115.90328400301374</c:v>
                </c:pt>
                <c:pt idx="5">
                  <c:v>122.75776815730188</c:v>
                </c:pt>
                <c:pt idx="6">
                  <c:v>169.11046921254285</c:v>
                </c:pt>
                <c:pt idx="7">
                  <c:v>173.68434125131398</c:v>
                </c:pt>
                <c:pt idx="8" formatCode="0.0">
                  <c:v>112.22546647241873</c:v>
                </c:pt>
                <c:pt idx="9" formatCode="0.0">
                  <c:v>120.4434482403947</c:v>
                </c:pt>
                <c:pt idx="10" formatCode="0.0">
                  <c:v>83.647259107278188</c:v>
                </c:pt>
                <c:pt idx="11" formatCode="0.0">
                  <c:v>62.182722747317825</c:v>
                </c:pt>
              </c:numCache>
            </c:numRef>
          </c:val>
          <c:extLst>
            <c:ext xmlns:c16="http://schemas.microsoft.com/office/drawing/2014/chart" uri="{C3380CC4-5D6E-409C-BE32-E72D297353CC}">
              <c16:uniqueId val="{00000000-26A7-4677-BCB1-892DD739F69F}"/>
            </c:ext>
          </c:extLst>
        </c:ser>
        <c:ser>
          <c:idx val="1"/>
          <c:order val="1"/>
          <c:tx>
            <c:strRef>
              <c:f>'MONTHLY DISTRIBUTION'!$E$53</c:f>
              <c:strCache>
                <c:ptCount val="1"/>
                <c:pt idx="0">
                  <c:v>Non-Serviced Accommodation</c:v>
                </c:pt>
              </c:strCache>
            </c:strRef>
          </c:tx>
          <c:spPr>
            <a:solidFill>
              <a:schemeClr val="accent3">
                <a:lumMod val="40000"/>
                <a:lumOff val="60000"/>
              </a:schemeClr>
            </a:solidFill>
            <a:ln w="25400">
              <a:noFill/>
            </a:ln>
            <a:effectLst/>
          </c:spPr>
          <c:cat>
            <c:strRef>
              <c:f>'MONTHLY DISTRIBUTION'!$F$43:$Q$43</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'MONTHLY DISTRIBUTION'!$F$53:$Q$53</c:f>
              <c:numCache>
                <c:formatCode>#,##0.0</c:formatCode>
                <c:ptCount val="12"/>
                <c:pt idx="0">
                  <c:v>684.89864445846808</c:v>
                </c:pt>
                <c:pt idx="1">
                  <c:v>757.71328490276164</c:v>
                </c:pt>
                <c:pt idx="2">
                  <c:v>1829.7364289182833</c:v>
                </c:pt>
                <c:pt idx="3">
                  <c:v>1507.7025015043182</c:v>
                </c:pt>
                <c:pt idx="4">
                  <c:v>1872.8900679128724</c:v>
                </c:pt>
                <c:pt idx="5">
                  <c:v>2012.422556643726</c:v>
                </c:pt>
                <c:pt idx="6">
                  <c:v>2341.6726078822326</c:v>
                </c:pt>
                <c:pt idx="7">
                  <c:v>2539.9581732590786</c:v>
                </c:pt>
                <c:pt idx="8" formatCode="0.0">
                  <c:v>1871.0118438487382</c:v>
                </c:pt>
                <c:pt idx="9" formatCode="0.0">
                  <c:v>1691.8681215688857</c:v>
                </c:pt>
                <c:pt idx="10" formatCode="0.0">
                  <c:v>905.14038360512427</c:v>
                </c:pt>
                <c:pt idx="11" formatCode="0.0">
                  <c:v>759.48875071994848</c:v>
                </c:pt>
              </c:numCache>
            </c:numRef>
          </c:val>
          <c:extLst>
            <c:ext xmlns:c16="http://schemas.microsoft.com/office/drawing/2014/chart" uri="{C3380CC4-5D6E-409C-BE32-E72D297353CC}">
              <c16:uniqueId val="{00000001-26A7-4677-BCB1-892DD739F69F}"/>
            </c:ext>
          </c:extLst>
        </c:ser>
        <c:ser>
          <c:idx val="2"/>
          <c:order val="2"/>
          <c:tx>
            <c:strRef>
              <c:f>'MONTHLY DISTRIBUTION'!$E$54</c:f>
              <c:strCache>
                <c:ptCount val="1"/>
                <c:pt idx="0">
                  <c:v>SFR</c:v>
                </c:pt>
              </c:strCache>
            </c:strRef>
          </c:tx>
          <c:spPr>
            <a:solidFill>
              <a:schemeClr val="accent3">
                <a:lumMod val="60000"/>
                <a:lumOff val="40000"/>
              </a:schemeClr>
            </a:solidFill>
            <a:ln w="25400">
              <a:noFill/>
            </a:ln>
            <a:effectLst/>
          </c:spPr>
          <c:cat>
            <c:strRef>
              <c:f>'MONTHLY DISTRIBUTION'!$F$43:$Q$43</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'MONTHLY DISTRIBUTION'!$F$54:$Q$54</c:f>
              <c:numCache>
                <c:formatCode>#,##0.0</c:formatCode>
                <c:ptCount val="12"/>
                <c:pt idx="0">
                  <c:v>59.86636363636363</c:v>
                </c:pt>
                <c:pt idx="1">
                  <c:v>20.11509818181818</c:v>
                </c:pt>
                <c:pt idx="2">
                  <c:v>22.882254545454547</c:v>
                </c:pt>
                <c:pt idx="3">
                  <c:v>54.598123636363631</c:v>
                </c:pt>
                <c:pt idx="4">
                  <c:v>35.121600000000001</c:v>
                </c:pt>
                <c:pt idx="5">
                  <c:v>27.054807054545453</c:v>
                </c:pt>
                <c:pt idx="6">
                  <c:v>43.902000000000001</c:v>
                </c:pt>
                <c:pt idx="7">
                  <c:v>46.474391127272717</c:v>
                </c:pt>
                <c:pt idx="8" formatCode="0.0">
                  <c:v>23.938084341818183</c:v>
                </c:pt>
                <c:pt idx="9" formatCode="0.0">
                  <c:v>23.914616727272726</c:v>
                </c:pt>
                <c:pt idx="10" formatCode="0.0">
                  <c:v>18.634403454545453</c:v>
                </c:pt>
                <c:pt idx="11" formatCode="0.0">
                  <c:v>53.959549090909093</c:v>
                </c:pt>
              </c:numCache>
            </c:numRef>
          </c:val>
          <c:extLst>
            <c:ext xmlns:c16="http://schemas.microsoft.com/office/drawing/2014/chart" uri="{C3380CC4-5D6E-409C-BE32-E72D297353CC}">
              <c16:uniqueId val="{00000002-26A7-4677-BCB1-892DD739F69F}"/>
            </c:ext>
          </c:extLst>
        </c:ser>
        <c:ser>
          <c:idx val="3"/>
          <c:order val="3"/>
          <c:tx>
            <c:strRef>
              <c:f>'MONTHLY DISTRIBUTION'!$E$55</c:f>
              <c:strCache>
                <c:ptCount val="1"/>
                <c:pt idx="0">
                  <c:v>Day Visitor</c:v>
                </c:pt>
              </c:strCache>
            </c:strRef>
          </c:tx>
          <c:spPr>
            <a:solidFill>
              <a:srgbClr val="FFFF00"/>
            </a:solidFill>
            <a:ln>
              <a:noFill/>
            </a:ln>
            <a:effectLst/>
          </c:spPr>
          <c:cat>
            <c:strRef>
              <c:f>'MONTHLY DISTRIBUTION'!$F$43:$Q$43</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'MONTHLY DISTRIBUTION'!$F$55:$Q$55</c:f>
              <c:numCache>
                <c:formatCode>#,##0.0</c:formatCode>
                <c:ptCount val="12"/>
                <c:pt idx="0">
                  <c:v>48.695462239128972</c:v>
                </c:pt>
                <c:pt idx="1">
                  <c:v>82.326435766229338</c:v>
                </c:pt>
                <c:pt idx="2">
                  <c:v>301.88489490866897</c:v>
                </c:pt>
                <c:pt idx="3">
                  <c:v>446.21603155377841</c:v>
                </c:pt>
                <c:pt idx="4">
                  <c:v>413.76972325088121</c:v>
                </c:pt>
                <c:pt idx="5">
                  <c:v>583.70112906602549</c:v>
                </c:pt>
                <c:pt idx="6">
                  <c:v>499.74235214323716</c:v>
                </c:pt>
                <c:pt idx="7">
                  <c:v>707.69313833447507</c:v>
                </c:pt>
                <c:pt idx="8" formatCode="0.0">
                  <c:v>295.45235543163977</c:v>
                </c:pt>
                <c:pt idx="9" formatCode="0.0">
                  <c:v>241.9606520340248</c:v>
                </c:pt>
                <c:pt idx="10" formatCode="0.0">
                  <c:v>84.403103805230359</c:v>
                </c:pt>
                <c:pt idx="11" formatCode="0.0">
                  <c:v>62.972045717387637</c:v>
                </c:pt>
              </c:numCache>
            </c:numRef>
          </c:val>
          <c:extLst>
            <c:ext xmlns:c16="http://schemas.microsoft.com/office/drawing/2014/chart" uri="{C3380CC4-5D6E-409C-BE32-E72D297353CC}">
              <c16:uniqueId val="{00000003-26A7-4677-BCB1-892DD739F69F}"/>
            </c:ext>
          </c:extLst>
        </c:ser>
        <c:dLbls>
          <c:showLegendKey val="0"/>
          <c:showVal val="0"/>
          <c:showCatName val="0"/>
          <c:showSerName val="0"/>
          <c:showPercent val="0"/>
          <c:showBubbleSize val="0"/>
        </c:dLbls>
        <c:axId val="683538016"/>
        <c:axId val="683538408"/>
      </c:areaChart>
      <c:lineChart>
        <c:grouping val="standard"/>
        <c:varyColors val="0"/>
        <c:ser>
          <c:idx val="4"/>
          <c:order val="4"/>
          <c:tx>
            <c:v>All Visitors Monthly Totals</c:v>
          </c:tx>
          <c:spPr>
            <a:ln w="63500" cap="rnd">
              <a:solidFill>
                <a:srgbClr val="FF0000"/>
              </a:solidFill>
              <a:round/>
            </a:ln>
            <a:effectLst>
              <a:outerShdw blurRad="63500" sx="102000" sy="102000" algn="ctr" rotWithShape="0">
                <a:schemeClr val="bg1">
                  <a:alpha val="75000"/>
                </a:schemeClr>
              </a:outerShdw>
            </a:effectLst>
          </c:spPr>
          <c:marker>
            <c:symbol val="circle"/>
            <c:size val="5"/>
            <c:spPr>
              <a:solidFill>
                <a:schemeClr val="bg1"/>
              </a:solidFill>
              <a:ln w="9525">
                <a:solidFill>
                  <a:schemeClr val="accent5"/>
                </a:solidFill>
              </a:ln>
              <a:effectLst>
                <a:outerShdw blurRad="63500" sx="102000" sy="102000" algn="ctr" rotWithShape="0">
                  <a:schemeClr val="bg1">
                    <a:alpha val="75000"/>
                  </a:schemeClr>
                </a:outerShdw>
              </a:effectLst>
            </c:spPr>
          </c:marker>
          <c:dLbls>
            <c:spPr>
              <a:solidFill>
                <a:srgbClr val="FF0000">
                  <a:alpha val="75000"/>
                </a:srgbClr>
              </a:solidFill>
              <a:ln>
                <a:solidFill>
                  <a:schemeClr val="bg1"/>
                </a:solidFill>
              </a:ln>
              <a:effectLst/>
            </c:spPr>
            <c:txPr>
              <a:bodyPr rot="-5400000" spcFirstLastPara="1" vertOverflow="clip" horzOverflow="clip" vert="horz" wrap="square" lIns="72000" tIns="18288" rIns="72000" bIns="18288" anchor="ctr" anchorCtr="1">
                <a:spAutoFit/>
              </a:bodyPr>
              <a:lstStyle/>
              <a:p>
                <a:pPr>
                  <a:defRPr sz="900" b="0" i="0" u="none" strike="noStrike" kern="1200" baseline="0">
                    <a:solidFill>
                      <a:schemeClr val="bg1"/>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oundRect">
                    <a:avLst/>
                  </a:prstGeom>
                  <a:noFill/>
                  <a:ln>
                    <a:noFill/>
                  </a:ln>
                </c15:spPr>
                <c15:showLeaderLines val="0"/>
              </c:ext>
            </c:extLst>
          </c:dLbls>
          <c:cat>
            <c:strRef>
              <c:f>'MONTHLY DISTRIBUTION'!$F$43:$Q$43</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'MONTHLY DISTRIBUTION'!$F$63:$Q$63</c:f>
              <c:numCache>
                <c:formatCode>#,##0.00</c:formatCode>
                <c:ptCount val="12"/>
                <c:pt idx="0">
                  <c:v>813.89529229505251</c:v>
                </c:pt>
                <c:pt idx="1">
                  <c:v>905.4219241533583</c:v>
                </c:pt>
                <c:pt idx="2">
                  <c:v>2237.4462922791722</c:v>
                </c:pt>
                <c:pt idx="3">
                  <c:v>2106.4495129571146</c:v>
                </c:pt>
                <c:pt idx="4">
                  <c:v>2437.6846751667672</c:v>
                </c:pt>
                <c:pt idx="5">
                  <c:v>2745.9362609215987</c:v>
                </c:pt>
                <c:pt idx="6">
                  <c:v>3054.4274292380123</c:v>
                </c:pt>
                <c:pt idx="7">
                  <c:v>3467.8100439721402</c:v>
                </c:pt>
                <c:pt idx="8">
                  <c:v>2302.6277500946148</c:v>
                </c:pt>
                <c:pt idx="9">
                  <c:v>2078.1868385705779</c:v>
                </c:pt>
                <c:pt idx="10">
                  <c:v>1091.8251499721782</c:v>
                </c:pt>
                <c:pt idx="11">
                  <c:v>938.60306827556303</c:v>
                </c:pt>
              </c:numCache>
            </c:numRef>
          </c:val>
          <c:smooth val="1"/>
          <c:extLst>
            <c:ext xmlns:c16="http://schemas.microsoft.com/office/drawing/2014/chart" uri="{C3380CC4-5D6E-409C-BE32-E72D297353CC}">
              <c16:uniqueId val="{00000004-26A7-4677-BCB1-892DD739F69F}"/>
            </c:ext>
          </c:extLst>
        </c:ser>
        <c:dLbls>
          <c:showLegendKey val="0"/>
          <c:showVal val="0"/>
          <c:showCatName val="0"/>
          <c:showSerName val="0"/>
          <c:showPercent val="0"/>
          <c:showBubbleSize val="0"/>
        </c:dLbls>
        <c:marker val="1"/>
        <c:smooth val="0"/>
        <c:axId val="683541152"/>
        <c:axId val="683545072"/>
      </c:lineChart>
      <c:catAx>
        <c:axId val="68353801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83538408"/>
        <c:crosses val="autoZero"/>
        <c:auto val="1"/>
        <c:lblAlgn val="ctr"/>
        <c:lblOffset val="100"/>
        <c:noMultiLvlLbl val="0"/>
      </c:catAx>
      <c:valAx>
        <c:axId val="683538408"/>
        <c:scaling>
          <c:orientation val="minMax"/>
          <c:min val="0"/>
        </c:scaling>
        <c:delete val="0"/>
        <c:axPos val="l"/>
        <c:majorGridlines>
          <c:spPr>
            <a:ln w="9525" cap="flat" cmpd="sng" algn="ctr">
              <a:no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83538016"/>
        <c:crosses val="autoZero"/>
        <c:crossBetween val="between"/>
      </c:valAx>
      <c:valAx>
        <c:axId val="683545072"/>
        <c:scaling>
          <c:orientation val="minMax"/>
        </c:scaling>
        <c:delete val="0"/>
        <c:axPos val="r"/>
        <c:numFmt formatCode=";;;"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n-US"/>
          </a:p>
        </c:txPr>
        <c:crossAx val="683541152"/>
        <c:crosses val="max"/>
        <c:crossBetween val="between"/>
      </c:valAx>
      <c:catAx>
        <c:axId val="683541152"/>
        <c:scaling>
          <c:orientation val="minMax"/>
        </c:scaling>
        <c:delete val="1"/>
        <c:axPos val="b"/>
        <c:numFmt formatCode="General" sourceLinked="1"/>
        <c:majorTickMark val="out"/>
        <c:minorTickMark val="none"/>
        <c:tickLblPos val="nextTo"/>
        <c:crossAx val="683545072"/>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5184619273865554"/>
          <c:y val="3.5000141111393331E-2"/>
          <c:w val="0.69290818109492691"/>
          <c:h val="0.82557899174520288"/>
        </c:manualLayout>
      </c:layout>
      <c:barChart>
        <c:barDir val="col"/>
        <c:grouping val="clustered"/>
        <c:varyColors val="0"/>
        <c:ser>
          <c:idx val="4"/>
          <c:order val="0"/>
          <c:tx>
            <c:strRef>
              <c:f>'ECONOMIC IMPACT'!$E$30:$F$30</c:f>
              <c:strCache>
                <c:ptCount val="2"/>
                <c:pt idx="0">
                  <c:v>Total</c:v>
                </c:pt>
                <c:pt idx="1">
                  <c:v>£M</c:v>
                </c:pt>
              </c:strCache>
            </c:strRef>
          </c:tx>
          <c:spPr>
            <a:solidFill>
              <a:schemeClr val="accent1"/>
            </a:solidFill>
            <a:ln w="3175">
              <a:solidFill>
                <a:schemeClr val="tx1">
                  <a:lumMod val="65000"/>
                  <a:lumOff val="35000"/>
                </a:schemeClr>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inBase"/>
            <c:showLegendKey val="0"/>
            <c:showVal val="0"/>
            <c:showCatName val="1"/>
            <c:showSerName val="0"/>
            <c:showPercent val="0"/>
            <c:showBubbleSize val="0"/>
            <c:showLeaderLines val="0"/>
            <c:extLst>
              <c:ext xmlns:c15="http://schemas.microsoft.com/office/drawing/2012/chart" uri="{CE6537A1-D6FC-4f65-9D91-7224C49458BB}">
                <c15:showLeaderLines val="0"/>
              </c:ext>
            </c:extLst>
          </c:dLbls>
          <c:cat>
            <c:numRef>
              <c:f>[0]!EIYEARS</c:f>
              <c:numCache>
                <c:formatCode>0</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numCache>
            </c:numRef>
          </c:cat>
          <c:val>
            <c:numRef>
              <c:f>[0]!EIVISTYPETOTAL</c:f>
              <c:numCache>
                <c:formatCode>#,##0.00</c:formatCode>
                <c:ptCount val="12"/>
                <c:pt idx="0">
                  <c:v>1271.0067503525315</c:v>
                </c:pt>
                <c:pt idx="1">
                  <c:v>1138.2461488954439</c:v>
                </c:pt>
                <c:pt idx="2">
                  <c:v>1178.554199207525</c:v>
                </c:pt>
                <c:pt idx="3">
                  <c:v>1226.6205439528562</c:v>
                </c:pt>
                <c:pt idx="4">
                  <c:v>1199.0679780326702</c:v>
                </c:pt>
                <c:pt idx="5">
                  <c:v>1236.7650989208178</c:v>
                </c:pt>
                <c:pt idx="6">
                  <c:v>1291.6832130643966</c:v>
                </c:pt>
                <c:pt idx="7">
                  <c:v>1384.2194322880209</c:v>
                </c:pt>
                <c:pt idx="8">
                  <c:v>1516.9062069621152</c:v>
                </c:pt>
                <c:pt idx="9">
                  <c:v>629.09235478267237</c:v>
                </c:pt>
                <c:pt idx="10">
                  <c:v>1236.5830974262517</c:v>
                </c:pt>
                <c:pt idx="11">
                  <c:v>1523.4413709754956</c:v>
                </c:pt>
              </c:numCache>
            </c:numRef>
          </c:val>
          <c:extLst>
            <c:ext xmlns:c16="http://schemas.microsoft.com/office/drawing/2014/chart" uri="{C3380CC4-5D6E-409C-BE32-E72D297353CC}">
              <c16:uniqueId val="{00000000-18D3-418E-AC99-A91926D51357}"/>
            </c:ext>
          </c:extLst>
        </c:ser>
        <c:dLbls>
          <c:showLegendKey val="0"/>
          <c:showVal val="0"/>
          <c:showCatName val="0"/>
          <c:showSerName val="0"/>
          <c:showPercent val="0"/>
          <c:showBubbleSize val="0"/>
        </c:dLbls>
        <c:gapWidth val="75"/>
        <c:axId val="683542720"/>
        <c:axId val="683541936"/>
      </c:barChart>
      <c:lineChart>
        <c:grouping val="standard"/>
        <c:varyColors val="0"/>
        <c:ser>
          <c:idx val="0"/>
          <c:order val="1"/>
          <c:tx>
            <c:strRef>
              <c:f>'ECONOMIC IMPACT'!$E$32:$F$32</c:f>
              <c:strCache>
                <c:ptCount val="2"/>
                <c:pt idx="0">
                  <c:v>Share of Total</c:v>
                </c:pt>
                <c:pt idx="1">
                  <c:v>%</c:v>
                </c:pt>
              </c:strCache>
            </c:strRef>
          </c:tx>
          <c:spPr>
            <a:ln w="47625" cap="rnd">
              <a:solidFill>
                <a:schemeClr val="tx1">
                  <a:lumMod val="65000"/>
                  <a:lumOff val="35000"/>
                </a:schemeClr>
              </a:solidFill>
              <a:prstDash val="sysDash"/>
              <a:round/>
            </a:ln>
            <a:effectLst/>
          </c:spPr>
          <c:marker>
            <c:symbol val="none"/>
          </c:marker>
          <c:cat>
            <c:numRef>
              <c:f>[0]!EIYEARS</c:f>
              <c:numCache>
                <c:formatCode>0</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numCache>
            </c:numRef>
          </c:cat>
          <c:val>
            <c:numRef>
              <c:f>[0]!EISHAREOFTOTAL</c:f>
              <c:numCache>
                <c:formatCode>0.0%</c:formatCode>
                <c:ptCount val="12"/>
                <c:pt idx="0">
                  <c:v>1</c:v>
                </c:pt>
                <c:pt idx="1">
                  <c:v>1</c:v>
                </c:pt>
                <c:pt idx="2">
                  <c:v>1</c:v>
                </c:pt>
                <c:pt idx="3">
                  <c:v>1</c:v>
                </c:pt>
                <c:pt idx="4">
                  <c:v>1</c:v>
                </c:pt>
                <c:pt idx="5">
                  <c:v>1</c:v>
                </c:pt>
                <c:pt idx="6">
                  <c:v>1</c:v>
                </c:pt>
                <c:pt idx="7">
                  <c:v>1</c:v>
                </c:pt>
                <c:pt idx="8">
                  <c:v>1</c:v>
                </c:pt>
                <c:pt idx="9">
                  <c:v>1</c:v>
                </c:pt>
                <c:pt idx="10">
                  <c:v>1</c:v>
                </c:pt>
                <c:pt idx="11">
                  <c:v>1</c:v>
                </c:pt>
              </c:numCache>
            </c:numRef>
          </c:val>
          <c:smooth val="0"/>
          <c:extLst>
            <c:ext xmlns:c16="http://schemas.microsoft.com/office/drawing/2014/chart" uri="{C3380CC4-5D6E-409C-BE32-E72D297353CC}">
              <c16:uniqueId val="{00000001-18D3-418E-AC99-A91926D51357}"/>
            </c:ext>
          </c:extLst>
        </c:ser>
        <c:dLbls>
          <c:showLegendKey val="0"/>
          <c:showVal val="0"/>
          <c:showCatName val="0"/>
          <c:showSerName val="0"/>
          <c:showPercent val="0"/>
          <c:showBubbleSize val="0"/>
        </c:dLbls>
        <c:marker val="1"/>
        <c:smooth val="0"/>
        <c:axId val="683540760"/>
        <c:axId val="683539976"/>
      </c:lineChart>
      <c:valAx>
        <c:axId val="683539976"/>
        <c:scaling>
          <c:orientation val="minMax"/>
          <c:min val="0"/>
        </c:scaling>
        <c:delete val="0"/>
        <c:axPos val="r"/>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683540760"/>
        <c:crosses val="max"/>
        <c:crossBetween val="between"/>
      </c:valAx>
      <c:catAx>
        <c:axId val="683540760"/>
        <c:scaling>
          <c:orientation val="minMax"/>
        </c:scaling>
        <c:delete val="1"/>
        <c:axPos val="b"/>
        <c:numFmt formatCode="0" sourceLinked="1"/>
        <c:majorTickMark val="out"/>
        <c:minorTickMark val="none"/>
        <c:tickLblPos val="nextTo"/>
        <c:crossAx val="683539976"/>
        <c:crosses val="autoZero"/>
        <c:auto val="1"/>
        <c:lblAlgn val="ctr"/>
        <c:lblOffset val="100"/>
        <c:noMultiLvlLbl val="0"/>
      </c:catAx>
      <c:valAx>
        <c:axId val="683541936"/>
        <c:scaling>
          <c:orientation val="minMax"/>
          <c:min val="0"/>
        </c:scaling>
        <c:delete val="0"/>
        <c:axPos val="l"/>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683542720"/>
        <c:crosses val="autoZero"/>
        <c:crossBetween val="between"/>
      </c:valAx>
      <c:catAx>
        <c:axId val="683542720"/>
        <c:scaling>
          <c:orientation val="minMax"/>
        </c:scaling>
        <c:delete val="1"/>
        <c:axPos val="b"/>
        <c:numFmt formatCode="0" sourceLinked="1"/>
        <c:majorTickMark val="out"/>
        <c:minorTickMark val="none"/>
        <c:tickLblPos val="nextTo"/>
        <c:crossAx val="683541936"/>
        <c:crosses val="autoZero"/>
        <c:auto val="1"/>
        <c:lblAlgn val="ctr"/>
        <c:lblOffset val="100"/>
        <c:noMultiLvlLbl val="0"/>
      </c:catAx>
      <c:spPr>
        <a:gradFill flip="none" rotWithShape="1">
          <a:gsLst>
            <a:gs pos="0">
              <a:schemeClr val="accent1">
                <a:alpha val="42000"/>
                <a:lumMod val="4000"/>
                <a:lumOff val="96000"/>
              </a:schemeClr>
            </a:gs>
            <a:gs pos="39000">
              <a:schemeClr val="accent1">
                <a:lumMod val="45000"/>
                <a:lumOff val="55000"/>
                <a:alpha val="42000"/>
              </a:schemeClr>
            </a:gs>
            <a:gs pos="63000">
              <a:schemeClr val="accent1">
                <a:alpha val="62000"/>
                <a:lumMod val="82000"/>
              </a:schemeClr>
            </a:gs>
            <a:gs pos="100000">
              <a:schemeClr val="accent1">
                <a:alpha val="70000"/>
                <a:lumMod val="37000"/>
                <a:lumOff val="63000"/>
              </a:schemeClr>
            </a:gs>
          </a:gsLst>
          <a:lin ang="5400000" scaled="1"/>
          <a:tileRect/>
        </a:gradFill>
        <a:ln>
          <a:noFill/>
        </a:ln>
        <a:effectLst/>
      </c:spPr>
    </c:plotArea>
    <c:legend>
      <c:legendPos val="b"/>
      <c:layout>
        <c:manualLayout>
          <c:xMode val="edge"/>
          <c:yMode val="edge"/>
          <c:x val="1.3963963963963962E-2"/>
          <c:y val="0.87763453143486614"/>
          <c:w val="0.97207207207207202"/>
          <c:h val="0.1074510763874723"/>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orientation="portrait"/>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5475430154564013"/>
          <c:y val="3.5000141111393331E-2"/>
          <c:w val="0.71539880431612712"/>
          <c:h val="0.82557899174520288"/>
        </c:manualLayout>
      </c:layout>
      <c:barChart>
        <c:barDir val="col"/>
        <c:grouping val="clustered"/>
        <c:varyColors val="0"/>
        <c:ser>
          <c:idx val="4"/>
          <c:order val="0"/>
          <c:tx>
            <c:strRef>
              <c:f>'VISITOR NUMBERS'!$E$30:$F$30</c:f>
              <c:strCache>
                <c:ptCount val="2"/>
                <c:pt idx="0">
                  <c:v>Total</c:v>
                </c:pt>
                <c:pt idx="1">
                  <c:v>M</c:v>
                </c:pt>
              </c:strCache>
            </c:strRef>
          </c:tx>
          <c:spPr>
            <a:solidFill>
              <a:srgbClr val="00B050"/>
            </a:solidFill>
            <a:ln w="3175">
              <a:solidFill>
                <a:schemeClr val="tx1">
                  <a:lumMod val="65000"/>
                  <a:lumOff val="35000"/>
                </a:schemeClr>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inBase"/>
            <c:showLegendKey val="0"/>
            <c:showVal val="0"/>
            <c:showCatName val="1"/>
            <c:showSerName val="0"/>
            <c:showPercent val="0"/>
            <c:showBubbleSize val="0"/>
            <c:showLeaderLines val="0"/>
            <c:extLst>
              <c:ext xmlns:c15="http://schemas.microsoft.com/office/drawing/2012/chart" uri="{CE6537A1-D6FC-4f65-9D91-7224C49458BB}">
                <c15:showLeaderLines val="0"/>
              </c:ext>
            </c:extLst>
          </c:dLbls>
          <c:cat>
            <c:numRef>
              <c:f>'VISITOR NUMBERS'!EIYEARS</c:f>
              <c:numCache>
                <c:formatCode>0</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numCache>
              <c:extLst xmlns:c15="http://schemas.microsoft.com/office/drawing/2012/chart"/>
            </c:numRef>
          </c:cat>
          <c:val>
            <c:numRef>
              <c:f>'VISITOR NUMBERS'!EIVISTYPETOTAL</c:f>
              <c:numCache>
                <c:formatCode>#,##0.00</c:formatCode>
                <c:ptCount val="12"/>
                <c:pt idx="0">
                  <c:v>7.19697162823259</c:v>
                </c:pt>
                <c:pt idx="1">
                  <c:v>6.54359657070676</c:v>
                </c:pt>
                <c:pt idx="2">
                  <c:v>6.6381864111263607</c:v>
                </c:pt>
                <c:pt idx="3">
                  <c:v>6.8472762114481505</c:v>
                </c:pt>
                <c:pt idx="4">
                  <c:v>6.8786821880959881</c:v>
                </c:pt>
                <c:pt idx="5">
                  <c:v>7.096107038448304</c:v>
                </c:pt>
                <c:pt idx="6">
                  <c:v>7.3559115406176572</c:v>
                </c:pt>
                <c:pt idx="7">
                  <c:v>7.5186771956628533</c:v>
                </c:pt>
                <c:pt idx="8">
                  <c:v>7.8091780767906895</c:v>
                </c:pt>
                <c:pt idx="9">
                  <c:v>3.6266737748989306</c:v>
                </c:pt>
                <c:pt idx="10">
                  <c:v>5.9352747183906773</c:v>
                </c:pt>
                <c:pt idx="11">
                  <c:v>7.8823038751344532</c:v>
                </c:pt>
              </c:numCache>
            </c:numRef>
          </c:val>
          <c:extLst>
            <c:ext xmlns:c16="http://schemas.microsoft.com/office/drawing/2014/chart" uri="{C3380CC4-5D6E-409C-BE32-E72D297353CC}">
              <c16:uniqueId val="{00000000-41CA-4704-A404-E1996530ED71}"/>
            </c:ext>
          </c:extLst>
        </c:ser>
        <c:dLbls>
          <c:showLegendKey val="0"/>
          <c:showVal val="0"/>
          <c:showCatName val="0"/>
          <c:showSerName val="0"/>
          <c:showPercent val="0"/>
          <c:showBubbleSize val="0"/>
        </c:dLbls>
        <c:gapWidth val="75"/>
        <c:axId val="735320368"/>
        <c:axId val="735319976"/>
      </c:barChart>
      <c:lineChart>
        <c:grouping val="standard"/>
        <c:varyColors val="0"/>
        <c:ser>
          <c:idx val="0"/>
          <c:order val="1"/>
          <c:tx>
            <c:strRef>
              <c:f>'VISITOR NUMBERS'!$E$32:$F$32</c:f>
              <c:strCache>
                <c:ptCount val="2"/>
                <c:pt idx="0">
                  <c:v>Share of Total</c:v>
                </c:pt>
                <c:pt idx="1">
                  <c:v>%</c:v>
                </c:pt>
              </c:strCache>
            </c:strRef>
          </c:tx>
          <c:spPr>
            <a:ln w="50800" cap="rnd">
              <a:solidFill>
                <a:schemeClr val="tx1">
                  <a:lumMod val="65000"/>
                  <a:lumOff val="35000"/>
                </a:schemeClr>
              </a:solidFill>
              <a:prstDash val="sysDash"/>
              <a:round/>
            </a:ln>
            <a:effectLst/>
          </c:spPr>
          <c:marker>
            <c:symbol val="none"/>
          </c:marker>
          <c:cat>
            <c:numRef>
              <c:f>'VISITOR NUMBERS'!EIYEARS</c:f>
              <c:numCache>
                <c:formatCode>0</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numCache>
              <c:extLst xmlns:c15="http://schemas.microsoft.com/office/drawing/2012/chart"/>
            </c:numRef>
          </c:cat>
          <c:val>
            <c:numRef>
              <c:f>'VISITOR NUMBERS'!EISHAREOFTOTAL</c:f>
              <c:numCache>
                <c:formatCode>0.0%</c:formatCode>
                <c:ptCount val="12"/>
                <c:pt idx="0">
                  <c:v>1</c:v>
                </c:pt>
                <c:pt idx="1">
                  <c:v>1</c:v>
                </c:pt>
                <c:pt idx="2">
                  <c:v>1</c:v>
                </c:pt>
                <c:pt idx="3">
                  <c:v>1</c:v>
                </c:pt>
                <c:pt idx="4">
                  <c:v>1</c:v>
                </c:pt>
                <c:pt idx="5">
                  <c:v>1</c:v>
                </c:pt>
                <c:pt idx="6">
                  <c:v>1</c:v>
                </c:pt>
                <c:pt idx="7">
                  <c:v>1</c:v>
                </c:pt>
                <c:pt idx="8">
                  <c:v>1</c:v>
                </c:pt>
                <c:pt idx="9">
                  <c:v>1</c:v>
                </c:pt>
                <c:pt idx="10">
                  <c:v>1</c:v>
                </c:pt>
                <c:pt idx="11">
                  <c:v>1</c:v>
                </c:pt>
              </c:numCache>
            </c:numRef>
          </c:val>
          <c:smooth val="0"/>
          <c:extLst>
            <c:ext xmlns:c16="http://schemas.microsoft.com/office/drawing/2014/chart" uri="{C3380CC4-5D6E-409C-BE32-E72D297353CC}">
              <c16:uniqueId val="{00000001-41CA-4704-A404-E1996530ED71}"/>
            </c:ext>
          </c:extLst>
        </c:ser>
        <c:dLbls>
          <c:showLegendKey val="0"/>
          <c:showVal val="0"/>
          <c:showCatName val="0"/>
          <c:showSerName val="0"/>
          <c:showPercent val="0"/>
          <c:showBubbleSize val="0"/>
        </c:dLbls>
        <c:marker val="1"/>
        <c:smooth val="0"/>
        <c:axId val="735317624"/>
        <c:axId val="683546248"/>
      </c:lineChart>
      <c:valAx>
        <c:axId val="683546248"/>
        <c:scaling>
          <c:orientation val="minMax"/>
          <c:min val="0"/>
        </c:scaling>
        <c:delete val="0"/>
        <c:axPos val="r"/>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735317624"/>
        <c:crosses val="max"/>
        <c:crossBetween val="between"/>
      </c:valAx>
      <c:catAx>
        <c:axId val="735317624"/>
        <c:scaling>
          <c:orientation val="minMax"/>
        </c:scaling>
        <c:delete val="1"/>
        <c:axPos val="b"/>
        <c:numFmt formatCode="0" sourceLinked="1"/>
        <c:majorTickMark val="out"/>
        <c:minorTickMark val="none"/>
        <c:tickLblPos val="nextTo"/>
        <c:crossAx val="683546248"/>
        <c:crosses val="autoZero"/>
        <c:auto val="1"/>
        <c:lblAlgn val="ctr"/>
        <c:lblOffset val="100"/>
        <c:noMultiLvlLbl val="0"/>
      </c:catAx>
      <c:valAx>
        <c:axId val="735319976"/>
        <c:scaling>
          <c:orientation val="minMax"/>
          <c:min val="0"/>
        </c:scaling>
        <c:delete val="0"/>
        <c:axPos val="l"/>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735320368"/>
        <c:crosses val="autoZero"/>
        <c:crossBetween val="between"/>
      </c:valAx>
      <c:catAx>
        <c:axId val="735320368"/>
        <c:scaling>
          <c:orientation val="minMax"/>
        </c:scaling>
        <c:delete val="1"/>
        <c:axPos val="b"/>
        <c:numFmt formatCode="0" sourceLinked="1"/>
        <c:majorTickMark val="out"/>
        <c:minorTickMark val="none"/>
        <c:tickLblPos val="nextTo"/>
        <c:crossAx val="735319976"/>
        <c:crosses val="autoZero"/>
        <c:auto val="1"/>
        <c:lblAlgn val="ctr"/>
        <c:lblOffset val="100"/>
        <c:noMultiLvlLbl val="0"/>
      </c:catAx>
      <c:spPr>
        <a:gradFill flip="none" rotWithShape="1">
          <a:gsLst>
            <a:gs pos="0">
              <a:schemeClr val="accent3">
                <a:alpha val="13000"/>
                <a:lumMod val="0"/>
                <a:lumOff val="100000"/>
              </a:schemeClr>
            </a:gs>
            <a:gs pos="44000">
              <a:schemeClr val="accent3">
                <a:lumMod val="45000"/>
                <a:lumOff val="55000"/>
                <a:alpha val="93000"/>
              </a:schemeClr>
            </a:gs>
            <a:gs pos="70000">
              <a:schemeClr val="accent3">
                <a:lumMod val="75000"/>
                <a:alpha val="67000"/>
              </a:schemeClr>
            </a:gs>
            <a:gs pos="100000">
              <a:schemeClr val="accent3">
                <a:alpha val="67000"/>
                <a:lumMod val="18000"/>
                <a:lumOff val="82000"/>
              </a:schemeClr>
            </a:gs>
          </a:gsLst>
          <a:lin ang="5400000" scaled="1"/>
          <a:tileRect/>
        </a:gradFill>
        <a:ln>
          <a:noFill/>
        </a:ln>
        <a:effectLst/>
      </c:spPr>
    </c:plotArea>
    <c:legend>
      <c:legendPos val="b"/>
      <c:layout>
        <c:manualLayout>
          <c:xMode val="edge"/>
          <c:yMode val="edge"/>
          <c:x val="1.3963963963963962E-2"/>
          <c:y val="0.87763453143486614"/>
          <c:w val="0.97207207207207202"/>
          <c:h val="0.1074510763874723"/>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549504228638088"/>
          <c:y val="3.5000141111393331E-2"/>
          <c:w val="0.72465806357538642"/>
          <c:h val="0.82557899174520288"/>
        </c:manualLayout>
      </c:layout>
      <c:barChart>
        <c:barDir val="col"/>
        <c:grouping val="clustered"/>
        <c:varyColors val="0"/>
        <c:ser>
          <c:idx val="4"/>
          <c:order val="0"/>
          <c:tx>
            <c:strRef>
              <c:f>'VISITOR DAYS'!$E$30:$F$30</c:f>
              <c:strCache>
                <c:ptCount val="2"/>
                <c:pt idx="0">
                  <c:v>Total</c:v>
                </c:pt>
                <c:pt idx="1">
                  <c:v>M</c:v>
                </c:pt>
              </c:strCache>
            </c:strRef>
          </c:tx>
          <c:spPr>
            <a:solidFill>
              <a:srgbClr val="FF0000"/>
            </a:solidFill>
            <a:ln w="3175">
              <a:solidFill>
                <a:schemeClr val="tx1">
                  <a:lumMod val="65000"/>
                  <a:lumOff val="35000"/>
                </a:schemeClr>
              </a:solidFill>
            </a:ln>
            <a:effectLst/>
          </c:spPr>
          <c:invertIfNegative val="0"/>
          <c:dLbls>
            <c:spPr>
              <a:noFill/>
              <a:ln>
                <a:noFill/>
              </a:ln>
              <a:effectLst/>
            </c:spPr>
            <c:txPr>
              <a:bodyPr rot="-5400000" vert="horz" wrap="square" lIns="38100" tIns="19050" rIns="38100" bIns="19050" anchor="ctr">
                <a:spAutoFit/>
              </a:bodyPr>
              <a:lstStyle/>
              <a:p>
                <a:pPr>
                  <a:defRPr b="1">
                    <a:solidFill>
                      <a:schemeClr val="bg1"/>
                    </a:solidFill>
                  </a:defRPr>
                </a:pPr>
                <a:endParaRPr lang="en-US"/>
              </a:p>
            </c:txPr>
            <c:dLblPos val="inBase"/>
            <c:showLegendKey val="0"/>
            <c:showVal val="0"/>
            <c:showCatName val="1"/>
            <c:showSerName val="0"/>
            <c:showPercent val="0"/>
            <c:showBubbleSize val="0"/>
            <c:showLeaderLines val="0"/>
            <c:extLst>
              <c:ext xmlns:c15="http://schemas.microsoft.com/office/drawing/2012/chart" uri="{CE6537A1-D6FC-4f65-9D91-7224C49458BB}">
                <c15:showLeaderLines val="0"/>
              </c:ext>
            </c:extLst>
          </c:dLbls>
          <c:cat>
            <c:numRef>
              <c:f>'VISITOR DAYS'!EIYEARS</c:f>
              <c:numCache>
                <c:formatCode>0</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numCache>
              <c:extLst xmlns:c15="http://schemas.microsoft.com/office/drawing/2012/chart"/>
            </c:numRef>
          </c:cat>
          <c:val>
            <c:numRef>
              <c:f>'VISITOR DAYS'!EIVISTYPETOTAL</c:f>
              <c:numCache>
                <c:formatCode>#,##0.00</c:formatCode>
                <c:ptCount val="12"/>
                <c:pt idx="0">
                  <c:v>21.981789902206987</c:v>
                </c:pt>
                <c:pt idx="1">
                  <c:v>19.810833348183625</c:v>
                </c:pt>
                <c:pt idx="2">
                  <c:v>20.834074880966927</c:v>
                </c:pt>
                <c:pt idx="3">
                  <c:v>21.573894222992809</c:v>
                </c:pt>
                <c:pt idx="4">
                  <c:v>21.189989895587825</c:v>
                </c:pt>
                <c:pt idx="5">
                  <c:v>21.743371720184342</c:v>
                </c:pt>
                <c:pt idx="6">
                  <c:v>22.465758899182635</c:v>
                </c:pt>
                <c:pt idx="7">
                  <c:v>22.949312872851628</c:v>
                </c:pt>
                <c:pt idx="8">
                  <c:v>23.932093714459494</c:v>
                </c:pt>
                <c:pt idx="9">
                  <c:v>9.9033721498036336</c:v>
                </c:pt>
                <c:pt idx="10">
                  <c:v>18.568647455330499</c:v>
                </c:pt>
                <c:pt idx="11">
                  <c:v>24.180314237896152</c:v>
                </c:pt>
              </c:numCache>
            </c:numRef>
          </c:val>
          <c:extLst>
            <c:ext xmlns:c16="http://schemas.microsoft.com/office/drawing/2014/chart" uri="{C3380CC4-5D6E-409C-BE32-E72D297353CC}">
              <c16:uniqueId val="{00000000-E9CF-48D8-A2E2-297AAB4F6C38}"/>
            </c:ext>
          </c:extLst>
        </c:ser>
        <c:dLbls>
          <c:showLegendKey val="0"/>
          <c:showVal val="0"/>
          <c:showCatName val="0"/>
          <c:showSerName val="0"/>
          <c:showPercent val="0"/>
          <c:showBubbleSize val="0"/>
        </c:dLbls>
        <c:gapWidth val="75"/>
        <c:axId val="735321152"/>
        <c:axId val="735314488"/>
      </c:barChart>
      <c:lineChart>
        <c:grouping val="standard"/>
        <c:varyColors val="0"/>
        <c:ser>
          <c:idx val="0"/>
          <c:order val="1"/>
          <c:tx>
            <c:strRef>
              <c:f>'VISITOR DAYS'!$E$32:$F$32</c:f>
              <c:strCache>
                <c:ptCount val="2"/>
                <c:pt idx="0">
                  <c:v>Share of Total</c:v>
                </c:pt>
                <c:pt idx="1">
                  <c:v>%</c:v>
                </c:pt>
              </c:strCache>
            </c:strRef>
          </c:tx>
          <c:spPr>
            <a:ln w="50800" cap="rnd">
              <a:solidFill>
                <a:schemeClr val="accent1">
                  <a:lumMod val="75000"/>
                </a:schemeClr>
              </a:solidFill>
              <a:prstDash val="sysDash"/>
              <a:round/>
            </a:ln>
            <a:effectLst/>
          </c:spPr>
          <c:marker>
            <c:symbol val="none"/>
          </c:marker>
          <c:dPt>
            <c:idx val="1"/>
            <c:bubble3D val="0"/>
            <c:spPr>
              <a:ln w="50800" cap="rnd">
                <a:solidFill>
                  <a:schemeClr val="tx1">
                    <a:lumMod val="65000"/>
                    <a:lumOff val="35000"/>
                  </a:schemeClr>
                </a:solidFill>
                <a:prstDash val="sysDash"/>
                <a:round/>
              </a:ln>
              <a:effectLst/>
            </c:spPr>
            <c:extLst>
              <c:ext xmlns:c16="http://schemas.microsoft.com/office/drawing/2014/chart" uri="{C3380CC4-5D6E-409C-BE32-E72D297353CC}">
                <c16:uniqueId val="{00000002-E9CF-48D8-A2E2-297AAB4F6C38}"/>
              </c:ext>
            </c:extLst>
          </c:dPt>
          <c:dPt>
            <c:idx val="2"/>
            <c:bubble3D val="0"/>
            <c:spPr>
              <a:ln w="50800" cap="rnd">
                <a:solidFill>
                  <a:schemeClr val="tx1">
                    <a:lumMod val="65000"/>
                    <a:lumOff val="35000"/>
                  </a:schemeClr>
                </a:solidFill>
                <a:prstDash val="sysDash"/>
                <a:round/>
              </a:ln>
              <a:effectLst/>
            </c:spPr>
            <c:extLst>
              <c:ext xmlns:c16="http://schemas.microsoft.com/office/drawing/2014/chart" uri="{C3380CC4-5D6E-409C-BE32-E72D297353CC}">
                <c16:uniqueId val="{00000004-E9CF-48D8-A2E2-297AAB4F6C38}"/>
              </c:ext>
            </c:extLst>
          </c:dPt>
          <c:cat>
            <c:numRef>
              <c:f>'VISITOR DAYS'!EIYEARS</c:f>
              <c:numCache>
                <c:formatCode>0</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numCache>
              <c:extLst xmlns:c15="http://schemas.microsoft.com/office/drawing/2012/chart"/>
            </c:numRef>
          </c:cat>
          <c:val>
            <c:numRef>
              <c:f>'VISITOR DAYS'!EISHAREOFTOTAL</c:f>
              <c:numCache>
                <c:formatCode>0.0%</c:formatCode>
                <c:ptCount val="12"/>
                <c:pt idx="0">
                  <c:v>1</c:v>
                </c:pt>
                <c:pt idx="1">
                  <c:v>1</c:v>
                </c:pt>
                <c:pt idx="2">
                  <c:v>1</c:v>
                </c:pt>
                <c:pt idx="3">
                  <c:v>1</c:v>
                </c:pt>
                <c:pt idx="4">
                  <c:v>1</c:v>
                </c:pt>
                <c:pt idx="5">
                  <c:v>1</c:v>
                </c:pt>
                <c:pt idx="6">
                  <c:v>1</c:v>
                </c:pt>
                <c:pt idx="7">
                  <c:v>1</c:v>
                </c:pt>
                <c:pt idx="8">
                  <c:v>1</c:v>
                </c:pt>
                <c:pt idx="9">
                  <c:v>1</c:v>
                </c:pt>
                <c:pt idx="10">
                  <c:v>1</c:v>
                </c:pt>
                <c:pt idx="11">
                  <c:v>1</c:v>
                </c:pt>
              </c:numCache>
            </c:numRef>
          </c:val>
          <c:smooth val="0"/>
          <c:extLst>
            <c:ext xmlns:c16="http://schemas.microsoft.com/office/drawing/2014/chart" uri="{C3380CC4-5D6E-409C-BE32-E72D297353CC}">
              <c16:uniqueId val="{00000005-E9CF-48D8-A2E2-297AAB4F6C38}"/>
            </c:ext>
          </c:extLst>
        </c:ser>
        <c:dLbls>
          <c:showLegendKey val="0"/>
          <c:showVal val="0"/>
          <c:showCatName val="0"/>
          <c:showSerName val="0"/>
          <c:showPercent val="0"/>
          <c:showBubbleSize val="0"/>
        </c:dLbls>
        <c:marker val="1"/>
        <c:smooth val="0"/>
        <c:axId val="735318016"/>
        <c:axId val="735315664"/>
      </c:lineChart>
      <c:valAx>
        <c:axId val="735315664"/>
        <c:scaling>
          <c:orientation val="minMax"/>
          <c:min val="0"/>
        </c:scaling>
        <c:delete val="0"/>
        <c:axPos val="r"/>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735318016"/>
        <c:crosses val="max"/>
        <c:crossBetween val="between"/>
      </c:valAx>
      <c:catAx>
        <c:axId val="735318016"/>
        <c:scaling>
          <c:orientation val="minMax"/>
        </c:scaling>
        <c:delete val="1"/>
        <c:axPos val="b"/>
        <c:numFmt formatCode="0" sourceLinked="1"/>
        <c:majorTickMark val="out"/>
        <c:minorTickMark val="none"/>
        <c:tickLblPos val="nextTo"/>
        <c:crossAx val="735315664"/>
        <c:crosses val="autoZero"/>
        <c:auto val="1"/>
        <c:lblAlgn val="ctr"/>
        <c:lblOffset val="100"/>
        <c:noMultiLvlLbl val="0"/>
      </c:catAx>
      <c:valAx>
        <c:axId val="735314488"/>
        <c:scaling>
          <c:orientation val="minMax"/>
          <c:min val="0"/>
        </c:scaling>
        <c:delete val="0"/>
        <c:axPos val="l"/>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735321152"/>
        <c:crosses val="autoZero"/>
        <c:crossBetween val="between"/>
      </c:valAx>
      <c:catAx>
        <c:axId val="735321152"/>
        <c:scaling>
          <c:orientation val="minMax"/>
        </c:scaling>
        <c:delete val="1"/>
        <c:axPos val="b"/>
        <c:numFmt formatCode="0" sourceLinked="1"/>
        <c:majorTickMark val="out"/>
        <c:minorTickMark val="none"/>
        <c:tickLblPos val="nextTo"/>
        <c:crossAx val="735314488"/>
        <c:crosses val="autoZero"/>
        <c:auto val="1"/>
        <c:lblAlgn val="ctr"/>
        <c:lblOffset val="100"/>
        <c:noMultiLvlLbl val="0"/>
      </c:catAx>
      <c:spPr>
        <a:gradFill>
          <a:gsLst>
            <a:gs pos="0">
              <a:schemeClr val="accent3">
                <a:alpha val="42000"/>
                <a:lumMod val="0"/>
                <a:lumOff val="100000"/>
              </a:schemeClr>
            </a:gs>
            <a:gs pos="38000">
              <a:schemeClr val="accent3">
                <a:lumMod val="45000"/>
                <a:lumOff val="55000"/>
                <a:alpha val="69000"/>
              </a:schemeClr>
            </a:gs>
            <a:gs pos="65000">
              <a:schemeClr val="accent6">
                <a:lumMod val="75000"/>
                <a:alpha val="52000"/>
              </a:schemeClr>
            </a:gs>
            <a:gs pos="100000">
              <a:schemeClr val="accent3">
                <a:lumMod val="30000"/>
                <a:lumOff val="70000"/>
                <a:alpha val="54000"/>
              </a:schemeClr>
            </a:gs>
          </a:gsLst>
          <a:lin ang="5400000" scaled="1"/>
        </a:gradFill>
        <a:ln>
          <a:noFill/>
        </a:ln>
        <a:effectLst/>
      </c:spPr>
    </c:plotArea>
    <c:legend>
      <c:legendPos val="b"/>
      <c:layout>
        <c:manualLayout>
          <c:xMode val="edge"/>
          <c:yMode val="edge"/>
          <c:x val="1.3963963963963962E-2"/>
          <c:y val="0.87763453143486614"/>
          <c:w val="0.97207207207207202"/>
          <c:h val="0.1074510763874723"/>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orientation="portrait"/>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651793525809273"/>
          <c:y val="3.5000141111393331E-2"/>
          <c:w val="0.72002843394575677"/>
          <c:h val="0.82557899174520288"/>
        </c:manualLayout>
      </c:layout>
      <c:barChart>
        <c:barDir val="col"/>
        <c:grouping val="clustered"/>
        <c:varyColors val="0"/>
        <c:ser>
          <c:idx val="4"/>
          <c:order val="0"/>
          <c:tx>
            <c:strRef>
              <c:f>EMPLOYMENT!$E$30:$F$30</c:f>
              <c:strCache>
                <c:ptCount val="2"/>
                <c:pt idx="0">
                  <c:v>Total</c:v>
                </c:pt>
                <c:pt idx="1">
                  <c:v>FTEs</c:v>
                </c:pt>
              </c:strCache>
            </c:strRef>
          </c:tx>
          <c:spPr>
            <a:solidFill>
              <a:srgbClr val="F79646"/>
            </a:solidFill>
            <a:ln w="3175">
              <a:solidFill>
                <a:schemeClr val="tx1">
                  <a:lumMod val="65000"/>
                  <a:lumOff val="35000"/>
                </a:schemeClr>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inBase"/>
            <c:showLegendKey val="0"/>
            <c:showVal val="0"/>
            <c:showCatName val="1"/>
            <c:showSerName val="0"/>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EMPLOYMENT!EIYEARS</c:f>
              <c:numCache>
                <c:formatCode>0</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numCache>
            </c:numRef>
          </c:cat>
          <c:val>
            <c:numRef>
              <c:f>EMPLOYMENT!EIVISTYPETOTAL</c:f>
              <c:numCache>
                <c:formatCode>#,##0</c:formatCode>
                <c:ptCount val="12"/>
                <c:pt idx="0">
                  <c:v>15905.551021787311</c:v>
                </c:pt>
                <c:pt idx="1">
                  <c:v>14511.622624979691</c:v>
                </c:pt>
                <c:pt idx="2">
                  <c:v>15585.069269511876</c:v>
                </c:pt>
                <c:pt idx="3">
                  <c:v>15021.65982362809</c:v>
                </c:pt>
                <c:pt idx="4">
                  <c:v>15242.822106384279</c:v>
                </c:pt>
                <c:pt idx="5">
                  <c:v>15556.913326413875</c:v>
                </c:pt>
                <c:pt idx="6">
                  <c:v>15749.658463365944</c:v>
                </c:pt>
                <c:pt idx="7">
                  <c:v>17213.576337968992</c:v>
                </c:pt>
                <c:pt idx="8">
                  <c:v>18244.362674763051</c:v>
                </c:pt>
                <c:pt idx="9">
                  <c:v>9571.1122662740581</c:v>
                </c:pt>
                <c:pt idx="10">
                  <c:v>14650.568010064269</c:v>
                </c:pt>
                <c:pt idx="11">
                  <c:v>17736.62959128595</c:v>
                </c:pt>
              </c:numCache>
            </c:numRef>
          </c:val>
          <c:extLst>
            <c:ext xmlns:c16="http://schemas.microsoft.com/office/drawing/2014/chart" uri="{C3380CC4-5D6E-409C-BE32-E72D297353CC}">
              <c16:uniqueId val="{00000000-0F92-4700-8F3B-969EC935A474}"/>
            </c:ext>
          </c:extLst>
        </c:ser>
        <c:dLbls>
          <c:showLegendKey val="0"/>
          <c:showVal val="0"/>
          <c:showCatName val="0"/>
          <c:showSerName val="0"/>
          <c:showPercent val="0"/>
          <c:showBubbleSize val="0"/>
        </c:dLbls>
        <c:gapWidth val="75"/>
        <c:axId val="735319192"/>
        <c:axId val="735318800"/>
      </c:barChart>
      <c:lineChart>
        <c:grouping val="standard"/>
        <c:varyColors val="0"/>
        <c:ser>
          <c:idx val="0"/>
          <c:order val="1"/>
          <c:tx>
            <c:v>Share of Total</c:v>
          </c:tx>
          <c:spPr>
            <a:ln w="50800" cap="rnd">
              <a:solidFill>
                <a:schemeClr val="tx1">
                  <a:lumMod val="65000"/>
                  <a:lumOff val="35000"/>
                </a:schemeClr>
              </a:solidFill>
              <a:prstDash val="sysDash"/>
              <a:round/>
            </a:ln>
            <a:effectLst/>
          </c:spPr>
          <c:marker>
            <c:symbol val="none"/>
          </c:marker>
          <c:cat>
            <c:numRef>
              <c:f>EMPLOYMENT!EIYEARS</c:f>
              <c:numCache>
                <c:formatCode>0</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numCache>
            </c:numRef>
          </c:cat>
          <c:val>
            <c:numRef>
              <c:f>EMPLOYMENT!EISHAREOFTOTAL</c:f>
              <c:numCache>
                <c:formatCode>0.0%</c:formatCode>
                <c:ptCount val="12"/>
                <c:pt idx="0">
                  <c:v>1</c:v>
                </c:pt>
                <c:pt idx="1">
                  <c:v>1</c:v>
                </c:pt>
                <c:pt idx="2">
                  <c:v>1</c:v>
                </c:pt>
                <c:pt idx="3">
                  <c:v>1</c:v>
                </c:pt>
                <c:pt idx="4">
                  <c:v>1</c:v>
                </c:pt>
                <c:pt idx="5">
                  <c:v>1</c:v>
                </c:pt>
                <c:pt idx="6">
                  <c:v>1</c:v>
                </c:pt>
                <c:pt idx="7">
                  <c:v>1</c:v>
                </c:pt>
                <c:pt idx="8">
                  <c:v>1</c:v>
                </c:pt>
                <c:pt idx="9">
                  <c:v>1</c:v>
                </c:pt>
                <c:pt idx="10">
                  <c:v>1</c:v>
                </c:pt>
                <c:pt idx="11">
                  <c:v>1</c:v>
                </c:pt>
              </c:numCache>
            </c:numRef>
          </c:val>
          <c:smooth val="0"/>
          <c:extLst>
            <c:ext xmlns:c16="http://schemas.microsoft.com/office/drawing/2014/chart" uri="{C3380CC4-5D6E-409C-BE32-E72D297353CC}">
              <c16:uniqueId val="{00000001-0F92-4700-8F3B-969EC935A474}"/>
            </c:ext>
          </c:extLst>
        </c:ser>
        <c:dLbls>
          <c:showLegendKey val="0"/>
          <c:showVal val="0"/>
          <c:showCatName val="0"/>
          <c:showSerName val="0"/>
          <c:showPercent val="0"/>
          <c:showBubbleSize val="0"/>
        </c:dLbls>
        <c:marker val="1"/>
        <c:smooth val="0"/>
        <c:axId val="735321544"/>
        <c:axId val="735314880"/>
      </c:lineChart>
      <c:valAx>
        <c:axId val="735314880"/>
        <c:scaling>
          <c:orientation val="minMax"/>
          <c:min val="0"/>
        </c:scaling>
        <c:delete val="0"/>
        <c:axPos val="r"/>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735321544"/>
        <c:crosses val="max"/>
        <c:crossBetween val="between"/>
      </c:valAx>
      <c:catAx>
        <c:axId val="735321544"/>
        <c:scaling>
          <c:orientation val="minMax"/>
        </c:scaling>
        <c:delete val="1"/>
        <c:axPos val="b"/>
        <c:numFmt formatCode="0" sourceLinked="1"/>
        <c:majorTickMark val="out"/>
        <c:minorTickMark val="none"/>
        <c:tickLblPos val="nextTo"/>
        <c:crossAx val="735314880"/>
        <c:crosses val="autoZero"/>
        <c:auto val="1"/>
        <c:lblAlgn val="ctr"/>
        <c:lblOffset val="100"/>
        <c:noMultiLvlLbl val="0"/>
      </c:catAx>
      <c:valAx>
        <c:axId val="735318800"/>
        <c:scaling>
          <c:orientation val="minMax"/>
          <c:min val="0"/>
        </c:scaling>
        <c:delete val="0"/>
        <c:axPos val="l"/>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735319192"/>
        <c:crosses val="autoZero"/>
        <c:crossBetween val="between"/>
      </c:valAx>
      <c:catAx>
        <c:axId val="735319192"/>
        <c:scaling>
          <c:orientation val="minMax"/>
        </c:scaling>
        <c:delete val="1"/>
        <c:axPos val="b"/>
        <c:numFmt formatCode="0" sourceLinked="1"/>
        <c:majorTickMark val="out"/>
        <c:minorTickMark val="none"/>
        <c:tickLblPos val="nextTo"/>
        <c:crossAx val="735318800"/>
        <c:crosses val="autoZero"/>
        <c:auto val="1"/>
        <c:lblAlgn val="ctr"/>
        <c:lblOffset val="100"/>
        <c:noMultiLvlLbl val="0"/>
      </c:catAx>
      <c:spPr>
        <a:gradFill flip="none" rotWithShape="1">
          <a:gsLst>
            <a:gs pos="0">
              <a:schemeClr val="accent6">
                <a:lumMod val="0"/>
                <a:lumOff val="100000"/>
              </a:schemeClr>
            </a:gs>
            <a:gs pos="46000">
              <a:schemeClr val="accent6">
                <a:lumMod val="52000"/>
                <a:lumOff val="48000"/>
                <a:alpha val="44000"/>
              </a:schemeClr>
            </a:gs>
            <a:gs pos="74000">
              <a:schemeClr val="accent6">
                <a:lumMod val="89000"/>
                <a:lumOff val="11000"/>
              </a:schemeClr>
            </a:gs>
            <a:gs pos="100000">
              <a:schemeClr val="accent6">
                <a:lumMod val="30000"/>
                <a:lumOff val="70000"/>
              </a:schemeClr>
            </a:gs>
          </a:gsLst>
          <a:lin ang="5400000" scaled="1"/>
          <a:tileRect/>
        </a:gradFill>
        <a:ln>
          <a:noFill/>
        </a:ln>
        <a:effectLst/>
      </c:spPr>
    </c:plotArea>
    <c:legend>
      <c:legendPos val="b"/>
      <c:layout>
        <c:manualLayout>
          <c:xMode val="edge"/>
          <c:yMode val="edge"/>
          <c:x val="1.3963963963963962E-2"/>
          <c:y val="0.87763453143486614"/>
          <c:w val="0.97207207207207202"/>
          <c:h val="0.1074510763874723"/>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4768949103389388"/>
          <c:y val="0.1178765102709269"/>
          <c:w val="0.55161229174289461"/>
          <c:h val="0.88212348972907317"/>
        </c:manualLayout>
      </c:layout>
      <c:doughnutChart>
        <c:varyColors val="1"/>
        <c:ser>
          <c:idx val="0"/>
          <c:order val="0"/>
          <c:tx>
            <c:strRef>
              <c:f>'COMPARATIVE HEADLINES'!$P$26</c:f>
              <c:strCache>
                <c:ptCount val="1"/>
                <c:pt idx="0">
                  <c:v>2022</c:v>
                </c:pt>
              </c:strCache>
            </c:strRef>
          </c:tx>
          <c:spPr>
            <a:effectLst>
              <a:outerShdw blurRad="50800" dist="1104900" dir="2700000" algn="tl" rotWithShape="0">
                <a:schemeClr val="accent6">
                  <a:lumMod val="60000"/>
                  <a:lumOff val="40000"/>
                  <a:alpha val="7000"/>
                </a:schemeClr>
              </a:outerShdw>
            </a:effectLst>
          </c:spPr>
          <c:explosion val="2"/>
          <c:dPt>
            <c:idx val="0"/>
            <c:bubble3D val="0"/>
            <c:spPr>
              <a:solidFill>
                <a:schemeClr val="tx2"/>
              </a:solidFill>
              <a:ln>
                <a:noFill/>
              </a:ln>
              <a:effectLst>
                <a:outerShdw blurRad="50800" dist="1104900" dir="2700000" algn="tl" rotWithShape="0">
                  <a:schemeClr val="accent6">
                    <a:lumMod val="60000"/>
                    <a:lumOff val="40000"/>
                    <a:alpha val="7000"/>
                  </a:schemeClr>
                </a:outerShdw>
              </a:effectLst>
            </c:spPr>
            <c:extLst>
              <c:ext xmlns:c16="http://schemas.microsoft.com/office/drawing/2014/chart" uri="{C3380CC4-5D6E-409C-BE32-E72D297353CC}">
                <c16:uniqueId val="{00000001-F57A-46BA-AA1F-92002853843A}"/>
              </c:ext>
            </c:extLst>
          </c:dPt>
          <c:dPt>
            <c:idx val="1"/>
            <c:bubble3D val="0"/>
            <c:spPr>
              <a:solidFill>
                <a:schemeClr val="accent2"/>
              </a:solidFill>
              <a:ln>
                <a:noFill/>
              </a:ln>
              <a:effectLst>
                <a:outerShdw blurRad="50800" dist="1104900" dir="2700000" algn="tl" rotWithShape="0">
                  <a:schemeClr val="accent6">
                    <a:lumMod val="60000"/>
                    <a:lumOff val="40000"/>
                    <a:alpha val="7000"/>
                  </a:schemeClr>
                </a:outerShdw>
              </a:effectLst>
            </c:spPr>
            <c:extLst>
              <c:ext xmlns:c16="http://schemas.microsoft.com/office/drawing/2014/chart" uri="{C3380CC4-5D6E-409C-BE32-E72D297353CC}">
                <c16:uniqueId val="{00000003-F57A-46BA-AA1F-92002853843A}"/>
              </c:ext>
            </c:extLst>
          </c:dPt>
          <c:dPt>
            <c:idx val="2"/>
            <c:bubble3D val="0"/>
            <c:spPr>
              <a:solidFill>
                <a:schemeClr val="accent6">
                  <a:lumMod val="75000"/>
                </a:schemeClr>
              </a:solidFill>
              <a:ln>
                <a:noFill/>
              </a:ln>
              <a:effectLst>
                <a:outerShdw blurRad="50800" dist="1104900" dir="2700000" algn="tl" rotWithShape="0">
                  <a:schemeClr val="accent6">
                    <a:lumMod val="60000"/>
                    <a:lumOff val="40000"/>
                    <a:alpha val="7000"/>
                  </a:schemeClr>
                </a:outerShdw>
              </a:effectLst>
            </c:spPr>
            <c:extLst>
              <c:ext xmlns:c16="http://schemas.microsoft.com/office/drawing/2014/chart" uri="{C3380CC4-5D6E-409C-BE32-E72D297353CC}">
                <c16:uniqueId val="{00000005-F57A-46BA-AA1F-92002853843A}"/>
              </c:ext>
            </c:extLst>
          </c:dPt>
          <c:dPt>
            <c:idx val="3"/>
            <c:bubble3D val="0"/>
            <c:spPr>
              <a:solidFill>
                <a:schemeClr val="accent1"/>
              </a:solidFill>
              <a:ln>
                <a:noFill/>
              </a:ln>
              <a:effectLst>
                <a:outerShdw blurRad="50800" dist="1104900" dir="2700000" algn="tl" rotWithShape="0">
                  <a:schemeClr val="accent6">
                    <a:lumMod val="60000"/>
                    <a:lumOff val="40000"/>
                    <a:alpha val="7000"/>
                  </a:schemeClr>
                </a:outerShdw>
              </a:effectLst>
            </c:spPr>
            <c:extLst>
              <c:ext xmlns:c16="http://schemas.microsoft.com/office/drawing/2014/chart" uri="{C3380CC4-5D6E-409C-BE32-E72D297353CC}">
                <c16:uniqueId val="{00000007-F57A-46BA-AA1F-92002853843A}"/>
              </c:ext>
            </c:extLst>
          </c:dPt>
          <c:dPt>
            <c:idx val="4"/>
            <c:bubble3D val="0"/>
            <c:spPr>
              <a:solidFill>
                <a:schemeClr val="accent4">
                  <a:lumMod val="60000"/>
                  <a:lumOff val="40000"/>
                </a:schemeClr>
              </a:solidFill>
              <a:ln>
                <a:noFill/>
              </a:ln>
              <a:effectLst>
                <a:outerShdw blurRad="50800" dist="1104900" dir="2700000" algn="tl" rotWithShape="0">
                  <a:schemeClr val="accent6">
                    <a:lumMod val="60000"/>
                    <a:lumOff val="40000"/>
                    <a:alpha val="7000"/>
                  </a:schemeClr>
                </a:outerShdw>
              </a:effectLst>
            </c:spPr>
            <c:extLst>
              <c:ext xmlns:c16="http://schemas.microsoft.com/office/drawing/2014/chart" uri="{C3380CC4-5D6E-409C-BE32-E72D297353CC}">
                <c16:uniqueId val="{00000009-F57A-46BA-AA1F-92002853843A}"/>
              </c:ext>
            </c:extLst>
          </c:dPt>
          <c:dPt>
            <c:idx val="5"/>
            <c:bubble3D val="0"/>
            <c:spPr>
              <a:solidFill>
                <a:schemeClr val="accent3">
                  <a:lumMod val="75000"/>
                </a:schemeClr>
              </a:solidFill>
              <a:ln>
                <a:noFill/>
              </a:ln>
              <a:effectLst>
                <a:outerShdw blurRad="50800" dist="1104900" dir="2700000" algn="tl" rotWithShape="0">
                  <a:schemeClr val="accent6">
                    <a:lumMod val="60000"/>
                    <a:lumOff val="40000"/>
                    <a:alpha val="7000"/>
                  </a:schemeClr>
                </a:outerShdw>
              </a:effectLst>
            </c:spPr>
            <c:extLst>
              <c:ext xmlns:c16="http://schemas.microsoft.com/office/drawing/2014/chart" uri="{C3380CC4-5D6E-409C-BE32-E72D297353CC}">
                <c16:uniqueId val="{0000000B-F57A-46BA-AA1F-92002853843A}"/>
              </c:ext>
            </c:extLst>
          </c:dPt>
          <c:dLbls>
            <c:numFmt formatCode="0.0%" sourceLinked="0"/>
            <c:spPr>
              <a:noFill/>
              <a:ln>
                <a:noFill/>
              </a:ln>
              <a:effectLst/>
            </c:spPr>
            <c:txPr>
              <a:bodyPr rot="0" spcFirstLastPara="1" vertOverflow="overflow" horzOverflow="overflow" vert="horz" wrap="square" lIns="0" tIns="0" rIns="0" bIns="0" anchor="t" anchorCtr="0">
                <a:spAutoFit/>
              </a:bodyPr>
              <a:lstStyle/>
              <a:p>
                <a:pPr>
                  <a:defRPr sz="1000" b="1" i="0" u="none" strike="noStrike" kern="1200" baseline="0">
                    <a:solidFill>
                      <a:schemeClr val="lt1"/>
                    </a:solidFill>
                    <a:effectLst>
                      <a:outerShdw blurRad="457200" dir="6120000" algn="ctr" rotWithShape="0">
                        <a:schemeClr val="tx1"/>
                      </a:outerShdw>
                    </a:effectLst>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15:spPr xmlns:c15="http://schemas.microsoft.com/office/drawing/2012/chart">
                  <a:prstGeom prst="rect">
                    <a:avLst/>
                  </a:prstGeom>
                  <a:pattFill prst="pct75">
                    <a:fgClr>
                      <a:schemeClr val="dk1">
                        <a:lumMod val="75000"/>
                        <a:lumOff val="25000"/>
                      </a:schemeClr>
                    </a:fgClr>
                    <a:bgClr>
                      <a:schemeClr val="dk1">
                        <a:lumMod val="65000"/>
                        <a:lumOff val="35000"/>
                      </a:schemeClr>
                    </a:bgClr>
                  </a:pattFill>
                  <a:ln>
                    <a:noFill/>
                  </a:ln>
                </c15:spPr>
              </c:ext>
            </c:extLst>
          </c:dLbls>
          <c:cat>
            <c:strRef>
              <c:f>('COMPARATIVE HEADLINES'!$M$27:$O$31,'COMPARATIVE HEADLINES'!$M$33)</c:f>
              <c:strCache>
                <c:ptCount val="6"/>
                <c:pt idx="0">
                  <c:v>Accommodation</c:v>
                </c:pt>
                <c:pt idx="1">
                  <c:v>Food &amp; Drink</c:v>
                </c:pt>
                <c:pt idx="2">
                  <c:v>Recreation</c:v>
                </c:pt>
                <c:pt idx="3">
                  <c:v>Shopping</c:v>
                </c:pt>
                <c:pt idx="4">
                  <c:v>Transport</c:v>
                </c:pt>
                <c:pt idx="5">
                  <c:v>Indirect</c:v>
                </c:pt>
              </c:strCache>
            </c:strRef>
          </c:cat>
          <c:val>
            <c:numRef>
              <c:f>('COMPARATIVE HEADLINES'!$P$27:$P$31,'COMPARATIVE HEADLINES'!$P$33)</c:f>
              <c:numCache>
                <c:formatCode>#,##0</c:formatCode>
                <c:ptCount val="6"/>
                <c:pt idx="0">
                  <c:v>5875.3451959867552</c:v>
                </c:pt>
                <c:pt idx="1">
                  <c:v>3399.8450586470121</c:v>
                </c:pt>
                <c:pt idx="2">
                  <c:v>1102.5079334790339</c:v>
                </c:pt>
                <c:pt idx="3">
                  <c:v>3334.7940742874412</c:v>
                </c:pt>
                <c:pt idx="4">
                  <c:v>571.52506817873223</c:v>
                </c:pt>
                <c:pt idx="5">
                  <c:v>3452.6122607069738</c:v>
                </c:pt>
              </c:numCache>
            </c:numRef>
          </c:val>
          <c:extLst>
            <c:ext xmlns:c16="http://schemas.microsoft.com/office/drawing/2014/chart" uri="{C3380CC4-5D6E-409C-BE32-E72D297353CC}">
              <c16:uniqueId val="{0000000C-F57A-46BA-AA1F-92002853843A}"/>
            </c:ext>
          </c:extLst>
        </c:ser>
        <c:dLbls>
          <c:showLegendKey val="0"/>
          <c:showVal val="0"/>
          <c:showCatName val="0"/>
          <c:showSerName val="0"/>
          <c:showPercent val="1"/>
          <c:showBubbleSize val="0"/>
          <c:showLeaderLines val="1"/>
        </c:dLbls>
        <c:firstSliceAng val="0"/>
        <c:holeSize val="50"/>
      </c:doughnutChart>
      <c:spPr>
        <a:noFill/>
        <a:ln>
          <a:noFill/>
        </a:ln>
        <a:effectLst/>
      </c:spPr>
    </c:plotArea>
    <c:legend>
      <c:legendPos val="r"/>
      <c:layout>
        <c:manualLayout>
          <c:xMode val="edge"/>
          <c:yMode val="edge"/>
          <c:x val="2.260643573841303E-2"/>
          <c:y val="3.6829461399969635E-2"/>
          <c:w val="0.37539942331801368"/>
          <c:h val="0.9402258085507906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legend>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'ACCOMMODATION SUPPLY'!$E$32</c:f>
          <c:strCache>
            <c:ptCount val="1"/>
            <c:pt idx="0">
              <c:v>SEASONAL AVAILABILITY OF BED SUPPLY
2022</c:v>
            </c:pt>
          </c:strCache>
        </c:strRef>
      </c:tx>
      <c:layout>
        <c:manualLayout>
          <c:xMode val="edge"/>
          <c:yMode val="edge"/>
          <c:x val="0.1841734470691164"/>
          <c:y val="1.3831258644536652E-2"/>
        </c:manualLayout>
      </c:layout>
      <c:overlay val="0"/>
      <c:spPr>
        <a:noFill/>
        <a:ln>
          <a:noFill/>
        </a:ln>
        <a:effectLst/>
      </c:spPr>
      <c:txPr>
        <a:bodyPr rot="0" spcFirstLastPara="1" vertOverflow="ellipsis" vert="horz" wrap="square" anchor="ctr" anchorCtr="1"/>
        <a:lstStyle/>
        <a:p>
          <a:pPr algn="ctr">
            <a:defRPr sz="1400" b="1" i="0" u="none" strike="noStrike" kern="1200" spc="0" baseline="0">
              <a:solidFill>
                <a:schemeClr val="tx1">
                  <a:lumMod val="50000"/>
                  <a:lumOff val="50000"/>
                </a:schemeClr>
              </a:solidFill>
              <a:latin typeface="+mn-lt"/>
              <a:ea typeface="+mn-ea"/>
              <a:cs typeface="+mn-cs"/>
            </a:defRPr>
          </a:pPr>
          <a:endParaRPr lang="en-US"/>
        </a:p>
      </c:txPr>
    </c:title>
    <c:autoTitleDeleted val="0"/>
    <c:view3D>
      <c:rotX val="15"/>
      <c:rotY val="20"/>
      <c:depthPercent val="100"/>
      <c:rAngAx val="0"/>
    </c:view3D>
    <c:floor>
      <c:thickness val="0"/>
      <c:spPr>
        <a:solidFill>
          <a:schemeClr val="accent3">
            <a:lumMod val="60000"/>
            <a:lumOff val="40000"/>
          </a:schemeClr>
        </a:solidFill>
        <a:ln w="9525" cap="flat" cmpd="sng" algn="ctr">
          <a:solidFill>
            <a:schemeClr val="tx1">
              <a:lumMod val="15000"/>
              <a:lumOff val="85000"/>
            </a:schemeClr>
          </a:solidFill>
          <a:round/>
        </a:ln>
        <a:effectLst/>
        <a:scene3d>
          <a:camera prst="orthographicFront"/>
          <a:lightRig rig="threePt" dir="t"/>
        </a:scene3d>
        <a:sp3d contourW="9525">
          <a:bevelT h="95250"/>
          <a:contourClr>
            <a:schemeClr val="tx1">
              <a:lumMod val="15000"/>
              <a:lumOff val="85000"/>
            </a:schemeClr>
          </a:contourClr>
        </a:sp3d>
      </c:spPr>
    </c:floor>
    <c:sideWall>
      <c:thickness val="0"/>
      <c:spPr>
        <a:solidFill>
          <a:schemeClr val="accent3">
            <a:lumMod val="60000"/>
            <a:lumOff val="40000"/>
            <a:alpha val="15000"/>
          </a:schemeClr>
        </a:solidFill>
        <a:ln>
          <a:noFill/>
        </a:ln>
        <a:effectLst/>
        <a:sp3d/>
      </c:spPr>
    </c:sideWall>
    <c:backWall>
      <c:thickness val="0"/>
      <c:spPr>
        <a:solidFill>
          <a:schemeClr val="accent3">
            <a:lumMod val="60000"/>
            <a:lumOff val="40000"/>
            <a:alpha val="15000"/>
          </a:schemeClr>
        </a:solidFill>
        <a:ln>
          <a:noFill/>
        </a:ln>
        <a:effectLst/>
        <a:sp3d/>
      </c:spPr>
    </c:backWall>
    <c:plotArea>
      <c:layout>
        <c:manualLayout>
          <c:layoutTarget val="inner"/>
          <c:xMode val="edge"/>
          <c:yMode val="edge"/>
          <c:x val="7.3122703412073498E-2"/>
          <c:y val="0.21626556016597512"/>
          <c:w val="0.89632174103237094"/>
          <c:h val="0.71540301238278825"/>
        </c:manualLayout>
      </c:layout>
      <c:area3DChart>
        <c:grouping val="stacked"/>
        <c:varyColors val="0"/>
        <c:ser>
          <c:idx val="1"/>
          <c:order val="0"/>
          <c:tx>
            <c:strRef>
              <c:f>'ACCOMMODATION SUPPLY'!$E$36</c:f>
              <c:strCache>
                <c:ptCount val="1"/>
                <c:pt idx="0">
                  <c:v>Non-Serviced Accommodation</c:v>
                </c:pt>
              </c:strCache>
            </c:strRef>
          </c:tx>
          <c:spPr>
            <a:solidFill>
              <a:schemeClr val="accent3">
                <a:lumMod val="40000"/>
                <a:lumOff val="60000"/>
              </a:schemeClr>
            </a:solidFill>
            <a:ln w="25400">
              <a:noFill/>
            </a:ln>
            <a:effectLst/>
            <a:sp3d/>
          </c:spPr>
          <c:dLbls>
            <c:spPr>
              <a:noFill/>
              <a:ln>
                <a:noFill/>
              </a:ln>
              <a:effectLst/>
            </c:spPr>
            <c:txPr>
              <a:bodyPr rot="-5400000" spcFirstLastPara="1" vertOverflow="clip" horzOverflow="clip" vert="horz" wrap="square" lIns="0" tIns="0" rIns="0" bIns="0" anchor="b" anchorCtr="1">
                <a:spAutoFit/>
              </a:bodyPr>
              <a:lstStyle/>
              <a:p>
                <a:pPr>
                  <a:defRPr sz="1200" b="1" i="0" u="none" strike="noStrike" kern="1200" baseline="0">
                    <a:solidFill>
                      <a:schemeClr val="tx1">
                        <a:lumMod val="75000"/>
                        <a:lumOff val="25000"/>
                      </a:schemeClr>
                    </a:solidFill>
                    <a:effectLst>
                      <a:outerShdw blurRad="63500" sx="102000" sy="102000" algn="ctr" rotWithShape="0">
                        <a:schemeClr val="bg1">
                          <a:alpha val="75000"/>
                        </a:schemeClr>
                      </a:outerShdw>
                    </a:effectLst>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strRef>
              <c:f>'ACCOMMODATION SUPPLY'!$I$33:$T$33</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'ACCOMMODATION SUPPLY'!$I$36:$T$36</c:f>
              <c:numCache>
                <c:formatCode>#,##0</c:formatCode>
                <c:ptCount val="12"/>
                <c:pt idx="0">
                  <c:v>44583.462297223501</c:v>
                </c:pt>
                <c:pt idx="1">
                  <c:v>42603.53723744431</c:v>
                </c:pt>
                <c:pt idx="2">
                  <c:v>97223.250776673594</c:v>
                </c:pt>
                <c:pt idx="3">
                  <c:v>103347.04403709338</c:v>
                </c:pt>
                <c:pt idx="4">
                  <c:v>102639.77136201361</c:v>
                </c:pt>
                <c:pt idx="5">
                  <c:v>104012.23930836853</c:v>
                </c:pt>
                <c:pt idx="6">
                  <c:v>103686.24063487112</c:v>
                </c:pt>
                <c:pt idx="7">
                  <c:v>103156.51828916121</c:v>
                </c:pt>
                <c:pt idx="8">
                  <c:v>103668.26017702876</c:v>
                </c:pt>
                <c:pt idx="9">
                  <c:v>102669.89073402103</c:v>
                </c:pt>
                <c:pt idx="10">
                  <c:v>62806.859634570843</c:v>
                </c:pt>
                <c:pt idx="11">
                  <c:v>58071.280620054291</c:v>
                </c:pt>
              </c:numCache>
            </c:numRef>
          </c:val>
          <c:extLst>
            <c:ext xmlns:c16="http://schemas.microsoft.com/office/drawing/2014/chart" uri="{C3380CC4-5D6E-409C-BE32-E72D297353CC}">
              <c16:uniqueId val="{00000000-EFAF-4A06-819D-4A8842796163}"/>
            </c:ext>
          </c:extLst>
        </c:ser>
        <c:ser>
          <c:idx val="0"/>
          <c:order val="1"/>
          <c:tx>
            <c:strRef>
              <c:f>'ACCOMMODATION SUPPLY'!$E$35</c:f>
              <c:strCache>
                <c:ptCount val="1"/>
                <c:pt idx="0">
                  <c:v>Serviced Accommodation</c:v>
                </c:pt>
              </c:strCache>
            </c:strRef>
          </c:tx>
          <c:spPr>
            <a:solidFill>
              <a:schemeClr val="accent3">
                <a:lumMod val="20000"/>
                <a:lumOff val="80000"/>
              </a:schemeClr>
            </a:solidFill>
            <a:ln w="25400">
              <a:noFill/>
            </a:ln>
            <a:effectLst/>
            <a:sp3d/>
          </c:spPr>
          <c:dLbls>
            <c:spPr>
              <a:noFill/>
              <a:ln>
                <a:noFill/>
              </a:ln>
              <a:effectLst/>
            </c:spPr>
            <c:txPr>
              <a:bodyPr rot="-5400000" spcFirstLastPara="1" vertOverflow="ellipsis" vert="horz" wrap="square" lIns="0" tIns="0" rIns="0" bIns="0" anchor="ctr" anchorCtr="0">
                <a:spAutoFit/>
              </a:bodyPr>
              <a:lstStyle/>
              <a:p>
                <a:pPr algn="ctr">
                  <a:defRPr lang="en-GB" sz="1200" b="1" i="0" u="none" strike="noStrike" kern="1200" baseline="0">
                    <a:solidFill>
                      <a:schemeClr val="tx1">
                        <a:lumMod val="75000"/>
                        <a:lumOff val="25000"/>
                      </a:schemeClr>
                    </a:solidFill>
                    <a:effectLst>
                      <a:outerShdw blurRad="63500" sx="102000" sy="102000" algn="ctr" rotWithShape="0">
                        <a:schemeClr val="bg1">
                          <a:alpha val="75000"/>
                        </a:schemeClr>
                      </a:outerShdw>
                    </a:effectLst>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strRef>
              <c:f>'ACCOMMODATION SUPPLY'!$I$33:$T$33</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'ACCOMMODATION SUPPLY'!$I$35:$T$35</c:f>
              <c:numCache>
                <c:formatCode>#,##0</c:formatCode>
                <c:ptCount val="12"/>
                <c:pt idx="0">
                  <c:v>5901</c:v>
                </c:pt>
                <c:pt idx="1">
                  <c:v>6048</c:v>
                </c:pt>
                <c:pt idx="2">
                  <c:v>6286</c:v>
                </c:pt>
                <c:pt idx="3">
                  <c:v>6364</c:v>
                </c:pt>
                <c:pt idx="4">
                  <c:v>6376</c:v>
                </c:pt>
                <c:pt idx="5">
                  <c:v>6376</c:v>
                </c:pt>
                <c:pt idx="6">
                  <c:v>6376</c:v>
                </c:pt>
                <c:pt idx="7">
                  <c:v>6376</c:v>
                </c:pt>
                <c:pt idx="8">
                  <c:v>6376</c:v>
                </c:pt>
                <c:pt idx="9">
                  <c:v>6359</c:v>
                </c:pt>
                <c:pt idx="10">
                  <c:v>6176</c:v>
                </c:pt>
                <c:pt idx="11">
                  <c:v>6143</c:v>
                </c:pt>
              </c:numCache>
            </c:numRef>
          </c:val>
          <c:extLst>
            <c:ext xmlns:c16="http://schemas.microsoft.com/office/drawing/2014/chart" uri="{C3380CC4-5D6E-409C-BE32-E72D297353CC}">
              <c16:uniqueId val="{00000001-EFAF-4A06-819D-4A8842796163}"/>
            </c:ext>
          </c:extLst>
        </c:ser>
        <c:dLbls>
          <c:showLegendKey val="0"/>
          <c:showVal val="0"/>
          <c:showCatName val="0"/>
          <c:showSerName val="0"/>
          <c:showPercent val="0"/>
          <c:showBubbleSize val="0"/>
        </c:dLbls>
        <c:gapDepth val="500"/>
        <c:axId val="735292536"/>
        <c:axId val="735289400"/>
        <c:axId val="0"/>
      </c:area3DChart>
      <c:catAx>
        <c:axId val="73529253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5289400"/>
        <c:crosses val="autoZero"/>
        <c:auto val="1"/>
        <c:lblAlgn val="ctr"/>
        <c:lblOffset val="100"/>
        <c:noMultiLvlLbl val="0"/>
      </c:catAx>
      <c:valAx>
        <c:axId val="735289400"/>
        <c:scaling>
          <c:orientation val="minMax"/>
        </c:scaling>
        <c:delete val="0"/>
        <c:axPos val="l"/>
        <c:majorGridlines>
          <c:spPr>
            <a:ln w="9525" cap="flat" cmpd="sng" algn="ctr">
              <a:solidFill>
                <a:schemeClr val="tx1">
                  <a:lumMod val="15000"/>
                  <a:lumOff val="85000"/>
                </a:schemeClr>
              </a:solidFill>
              <a:round/>
            </a:ln>
            <a:effectLst/>
          </c:spPr>
        </c:majorGridlines>
        <c:title>
          <c:tx>
            <c:strRef>
              <c:f>'ACCOMMODATION SUPPLY'!$J$9</c:f>
              <c:strCache>
                <c:ptCount val="1"/>
                <c:pt idx="0">
                  <c:v>Beds</c:v>
                </c:pt>
              </c:strCache>
            </c:strRef>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5292536"/>
        <c:crosses val="autoZero"/>
        <c:crossBetween val="between"/>
      </c:valAx>
      <c:spPr>
        <a:noFill/>
        <a:ln>
          <a:noFill/>
        </a:ln>
        <a:effectLst/>
      </c:spPr>
    </c:plotArea>
    <c:legend>
      <c:legendPos val="b"/>
      <c:layout>
        <c:manualLayout>
          <c:xMode val="edge"/>
          <c:yMode val="edge"/>
          <c:x val="1.3888888888888888E-2"/>
          <c:y val="0.13057906143474804"/>
          <c:w val="0.98055555555555551"/>
          <c:h val="4.8419206935232689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087180700773058"/>
          <c:y val="0.28449953890898771"/>
          <c:w val="0.56759249271923207"/>
          <c:h val="0.65155108162500097"/>
        </c:manualLayout>
      </c:layout>
      <c:radarChart>
        <c:radarStyle val="filled"/>
        <c:varyColors val="0"/>
        <c:ser>
          <c:idx val="0"/>
          <c:order val="0"/>
          <c:tx>
            <c:strRef>
              <c:f>'SECTORAL ANALYSIS'!$S$9</c:f>
              <c:strCache>
                <c:ptCount val="1"/>
                <c:pt idx="0">
                  <c:v>2022</c:v>
                </c:pt>
              </c:strCache>
            </c:strRef>
          </c:tx>
          <c:spPr>
            <a:solidFill>
              <a:schemeClr val="accent1">
                <a:alpha val="55000"/>
              </a:schemeClr>
            </a:solidFill>
            <a:ln w="25400">
              <a:solidFill>
                <a:schemeClr val="tx2">
                  <a:lumMod val="50000"/>
                  <a:alpha val="55000"/>
                </a:schemeClr>
              </a:solidFill>
            </a:ln>
            <a:effectLst/>
          </c:spPr>
          <c:dPt>
            <c:idx val="0"/>
            <c:bubble3D val="0"/>
            <c:extLst>
              <c:ext xmlns:c16="http://schemas.microsoft.com/office/drawing/2014/chart" uri="{C3380CC4-5D6E-409C-BE32-E72D297353CC}">
                <c16:uniqueId val="{00000000-AB63-4B36-B583-114EA2D27348}"/>
              </c:ext>
            </c:extLst>
          </c:dPt>
          <c:dPt>
            <c:idx val="1"/>
            <c:bubble3D val="0"/>
            <c:extLst>
              <c:ext xmlns:c16="http://schemas.microsoft.com/office/drawing/2014/chart" uri="{C3380CC4-5D6E-409C-BE32-E72D297353CC}">
                <c16:uniqueId val="{00000001-AB63-4B36-B583-114EA2D27348}"/>
              </c:ext>
            </c:extLst>
          </c:dPt>
          <c:dPt>
            <c:idx val="2"/>
            <c:bubble3D val="0"/>
            <c:extLst>
              <c:ext xmlns:c16="http://schemas.microsoft.com/office/drawing/2014/chart" uri="{C3380CC4-5D6E-409C-BE32-E72D297353CC}">
                <c16:uniqueId val="{00000002-AB63-4B36-B583-114EA2D27348}"/>
              </c:ext>
            </c:extLst>
          </c:dPt>
          <c:dPt>
            <c:idx val="3"/>
            <c:bubble3D val="0"/>
            <c:extLst>
              <c:ext xmlns:c16="http://schemas.microsoft.com/office/drawing/2014/chart" uri="{C3380CC4-5D6E-409C-BE32-E72D297353CC}">
                <c16:uniqueId val="{00000003-AB63-4B36-B583-114EA2D27348}"/>
              </c:ext>
            </c:extLst>
          </c:dPt>
          <c:dPt>
            <c:idx val="4"/>
            <c:bubble3D val="0"/>
            <c:extLst>
              <c:ext xmlns:c16="http://schemas.microsoft.com/office/drawing/2014/chart" uri="{C3380CC4-5D6E-409C-BE32-E72D297353CC}">
                <c16:uniqueId val="{00000004-AB63-4B36-B583-114EA2D27348}"/>
              </c:ext>
            </c:extLst>
          </c:dPt>
          <c:dPt>
            <c:idx val="5"/>
            <c:bubble3D val="0"/>
            <c:extLst>
              <c:ext xmlns:c16="http://schemas.microsoft.com/office/drawing/2014/chart" uri="{C3380CC4-5D6E-409C-BE32-E72D297353CC}">
                <c16:uniqueId val="{00000005-AB63-4B36-B583-114EA2D27348}"/>
              </c:ext>
            </c:extLst>
          </c:dPt>
          <c:dPt>
            <c:idx val="6"/>
            <c:bubble3D val="0"/>
            <c:extLst>
              <c:ext xmlns:c16="http://schemas.microsoft.com/office/drawing/2014/chart" uri="{C3380CC4-5D6E-409C-BE32-E72D297353CC}">
                <c16:uniqueId val="{00000006-AB63-4B36-B583-114EA2D27348}"/>
              </c:ext>
            </c:extLst>
          </c:dPt>
          <c:dLbls>
            <c:dLbl>
              <c:idx val="0"/>
              <c:numFmt formatCode="#,##0.000" sourceLinked="0"/>
              <c:spPr>
                <a:solidFill>
                  <a:sysClr val="window" lastClr="FFFFFF"/>
                </a:solidFill>
                <a:ln>
                  <a:noFill/>
                </a:ln>
                <a:effectLst>
                  <a:outerShdw blurRad="63500" sx="102000" sy="102000" algn="ctr" rotWithShape="0">
                    <a:sysClr val="windowText" lastClr="000000">
                      <a:alpha val="40000"/>
                    </a:sysClr>
                  </a:outerShdw>
                </a:effectLst>
              </c:spPr>
              <c:txPr>
                <a:bodyPr rot="0" spcFirstLastPara="1" vertOverflow="clip" horzOverflow="clip" vert="horz" wrap="square" lIns="0" tIns="0" rIns="0" bIns="0" anchor="ctr" anchorCtr="1">
                  <a:spAutoFit/>
                </a:bodyPr>
                <a:lstStyle/>
                <a:p>
                  <a:pPr>
                    <a:defRPr sz="10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0-AB63-4B36-B583-114EA2D27348}"/>
                </c:ext>
              </c:extLst>
            </c:dLbl>
            <c:dLbl>
              <c:idx val="1"/>
              <c:numFmt formatCode="#,##0.000" sourceLinked="0"/>
              <c:spPr>
                <a:solidFill>
                  <a:sysClr val="window" lastClr="FFFFFF"/>
                </a:solidFill>
                <a:ln>
                  <a:noFill/>
                </a:ln>
                <a:effectLst>
                  <a:outerShdw blurRad="63500" sx="102000" sy="102000" algn="ctr" rotWithShape="0">
                    <a:sysClr val="windowText" lastClr="000000">
                      <a:alpha val="40000"/>
                    </a:sysClr>
                  </a:outerShdw>
                </a:effectLst>
              </c:spPr>
              <c:txPr>
                <a:bodyPr rot="0" spcFirstLastPara="1" vertOverflow="clip" horzOverflow="clip" vert="horz" wrap="square" lIns="0" tIns="0" rIns="0" bIns="0" anchor="ctr" anchorCtr="1">
                  <a:spAutoFit/>
                </a:bodyPr>
                <a:lstStyle/>
                <a:p>
                  <a:pPr>
                    <a:defRPr sz="1000" b="1" i="0" u="none" strike="noStrike" kern="1200" baseline="0">
                      <a:solidFill>
                        <a:schemeClr val="accent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1-AB63-4B36-B583-114EA2D27348}"/>
                </c:ext>
              </c:extLst>
            </c:dLbl>
            <c:dLbl>
              <c:idx val="2"/>
              <c:numFmt formatCode="#,##0.000" sourceLinked="0"/>
              <c:spPr>
                <a:solidFill>
                  <a:sysClr val="window" lastClr="FFFFFF"/>
                </a:solidFill>
                <a:ln>
                  <a:noFill/>
                </a:ln>
                <a:effectLst>
                  <a:outerShdw blurRad="63500" sx="102000" sy="102000" algn="ctr" rotWithShape="0">
                    <a:sysClr val="windowText" lastClr="000000">
                      <a:alpha val="40000"/>
                    </a:sysClr>
                  </a:outerShdw>
                </a:effectLst>
              </c:spPr>
              <c:txPr>
                <a:bodyPr rot="0" spcFirstLastPara="1" vertOverflow="clip" horzOverflow="clip" vert="horz" wrap="square" lIns="0" tIns="0" rIns="0" bIns="0" anchor="ctr" anchorCtr="1">
                  <a:spAutoFit/>
                </a:bodyPr>
                <a:lstStyle/>
                <a:p>
                  <a:pPr>
                    <a:defRPr sz="1000" b="1" i="0" u="none" strike="noStrike" kern="1200" baseline="0">
                      <a:solidFill>
                        <a:schemeClr val="accent6">
                          <a:lumMod val="7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2-AB63-4B36-B583-114EA2D27348}"/>
                </c:ext>
              </c:extLst>
            </c:dLbl>
            <c:dLbl>
              <c:idx val="4"/>
              <c:numFmt formatCode="#,##0.000" sourceLinked="0"/>
              <c:spPr>
                <a:solidFill>
                  <a:sysClr val="window" lastClr="FFFFFF"/>
                </a:solidFill>
                <a:ln>
                  <a:noFill/>
                </a:ln>
                <a:effectLst>
                  <a:outerShdw blurRad="63500" sx="102000" sy="102000" algn="ctr" rotWithShape="0">
                    <a:sysClr val="windowText" lastClr="000000">
                      <a:alpha val="40000"/>
                    </a:sysClr>
                  </a:outerShdw>
                </a:effectLst>
              </c:spPr>
              <c:txPr>
                <a:bodyPr rot="0" spcFirstLastPara="1" vertOverflow="clip" horzOverflow="clip" vert="horz" wrap="square" lIns="0" tIns="0" rIns="0" bIns="0" anchor="ctr" anchorCtr="1">
                  <a:spAutoFit/>
                </a:bodyPr>
                <a:lstStyle/>
                <a:p>
                  <a:pPr>
                    <a:defRPr sz="1000" b="1" i="0" u="none" strike="noStrike" kern="1200" baseline="0">
                      <a:solidFill>
                        <a:schemeClr val="accent4">
                          <a:lumMod val="60000"/>
                          <a:lumOff val="40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4-AB63-4B36-B583-114EA2D27348}"/>
                </c:ext>
              </c:extLst>
            </c:dLbl>
            <c:dLbl>
              <c:idx val="5"/>
              <c:numFmt formatCode="#,##0.000" sourceLinked="0"/>
              <c:spPr>
                <a:solidFill>
                  <a:sysClr val="window" lastClr="FFFFFF"/>
                </a:solidFill>
                <a:ln>
                  <a:noFill/>
                </a:ln>
                <a:effectLst>
                  <a:outerShdw blurRad="63500" sx="102000" sy="102000" algn="ctr" rotWithShape="0">
                    <a:sysClr val="windowText" lastClr="000000">
                      <a:alpha val="40000"/>
                    </a:sysClr>
                  </a:outerShdw>
                </a:effectLst>
              </c:spPr>
              <c:txPr>
                <a:bodyPr rot="0" spcFirstLastPara="1" vertOverflow="clip" horzOverflow="clip" vert="horz" wrap="square" lIns="0" tIns="0" rIns="0" bIns="0" anchor="ctr" anchorCtr="1">
                  <a:spAutoFit/>
                </a:bodyPr>
                <a:lstStyle/>
                <a:p>
                  <a:pPr>
                    <a:defRPr sz="1000" b="1" i="0" u="none" strike="noStrike" kern="1200" baseline="0">
                      <a:solidFill>
                        <a:schemeClr val="tx1">
                          <a:lumMod val="50000"/>
                          <a:lumOff val="50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5-AB63-4B36-B583-114EA2D27348}"/>
                </c:ext>
              </c:extLst>
            </c:dLbl>
            <c:dLbl>
              <c:idx val="6"/>
              <c:numFmt formatCode="#,##0.000" sourceLinked="0"/>
              <c:spPr>
                <a:solidFill>
                  <a:sysClr val="window" lastClr="FFFFFF"/>
                </a:solidFill>
                <a:ln>
                  <a:noFill/>
                </a:ln>
                <a:effectLst>
                  <a:outerShdw blurRad="63500" sx="102000" sy="102000" algn="ctr" rotWithShape="0">
                    <a:sysClr val="windowText" lastClr="000000">
                      <a:alpha val="40000"/>
                    </a:sysClr>
                  </a:outerShdw>
                </a:effectLst>
              </c:spPr>
              <c:txPr>
                <a:bodyPr rot="0" spcFirstLastPara="1" vertOverflow="clip" horzOverflow="clip" vert="horz" wrap="square" lIns="0" tIns="0" rIns="0" bIns="0" anchor="ctr" anchorCtr="1">
                  <a:spAutoFit/>
                </a:bodyPr>
                <a:lstStyle/>
                <a:p>
                  <a:pPr>
                    <a:defRPr sz="1000" b="1" i="0" u="none" strike="noStrike" kern="1200" baseline="0">
                      <a:solidFill>
                        <a:schemeClr val="accent3">
                          <a:lumMod val="7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6-AB63-4B36-B583-114EA2D27348}"/>
                </c:ext>
              </c:extLst>
            </c:dLbl>
            <c:numFmt formatCode="#,##0.000" sourceLinked="0"/>
            <c:spPr>
              <a:solidFill>
                <a:sysClr val="window" lastClr="FFFFFF"/>
              </a:solidFill>
              <a:ln>
                <a:noFill/>
              </a:ln>
              <a:effectLst>
                <a:outerShdw blurRad="63500" sx="102000" sy="102000" algn="ctr" rotWithShape="0">
                  <a:sysClr val="windowText" lastClr="000000">
                    <a:alpha val="40000"/>
                  </a:sysClr>
                </a:outerShdw>
              </a:effectLst>
            </c:spPr>
            <c:txPr>
              <a:bodyPr rot="0" spcFirstLastPara="1" vertOverflow="clip" horzOverflow="clip" vert="horz" wrap="square" lIns="0" tIns="0" rIns="0" bIns="0" anchor="ctr" anchorCtr="1">
                <a:spAutoFit/>
              </a:bodyPr>
              <a:lstStyle/>
              <a:p>
                <a:pPr>
                  <a:defRPr sz="1000" b="1" i="0" u="none" strike="noStrike" kern="1200" baseline="0">
                    <a:solidFill>
                      <a:schemeClr val="accent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15:showLeaderLines val="0"/>
              </c:ext>
            </c:extLst>
          </c:dLbls>
          <c:cat>
            <c:strRef>
              <c:f>('SECTORAL ANALYSIS'!$E$10:$E$14,'SECTORAL ANALYSIS'!$E$16,'SECTORAL ANALYSIS'!$E$18)</c:f>
              <c:strCache>
                <c:ptCount val="7"/>
                <c:pt idx="0">
                  <c:v>Accommodation</c:v>
                </c:pt>
                <c:pt idx="1">
                  <c:v>Food &amp; Drink</c:v>
                </c:pt>
                <c:pt idx="2">
                  <c:v>Recreation</c:v>
                </c:pt>
                <c:pt idx="3">
                  <c:v>Shopping</c:v>
                </c:pt>
                <c:pt idx="4">
                  <c:v>Transport</c:v>
                </c:pt>
                <c:pt idx="5">
                  <c:v>VAT</c:v>
                </c:pt>
                <c:pt idx="6">
                  <c:v>Indirect Expenditure</c:v>
                </c:pt>
              </c:strCache>
            </c:strRef>
          </c:cat>
          <c:val>
            <c:numRef>
              <c:f>('SECTORAL ANALYSIS'!$S$10:$S$14,'SECTORAL ANALYSIS'!$S$16,'SECTORAL ANALYSIS'!$S$18)</c:f>
              <c:numCache>
                <c:formatCode>#,##0.0,</c:formatCode>
                <c:ptCount val="7"/>
                <c:pt idx="0">
                  <c:v>262.58610903159661</c:v>
                </c:pt>
                <c:pt idx="1">
                  <c:v>216.39333829276507</c:v>
                </c:pt>
                <c:pt idx="2">
                  <c:v>75.9096843924127</c:v>
                </c:pt>
                <c:pt idx="3">
                  <c:v>282.29645440952856</c:v>
                </c:pt>
                <c:pt idx="4">
                  <c:v>100.25945003865135</c:v>
                </c:pt>
                <c:pt idx="5">
                  <c:v>181.57769820406776</c:v>
                </c:pt>
                <c:pt idx="6">
                  <c:v>404.41863660647363</c:v>
                </c:pt>
              </c:numCache>
            </c:numRef>
          </c:val>
          <c:extLst>
            <c:ext xmlns:c16="http://schemas.microsoft.com/office/drawing/2014/chart" uri="{C3380CC4-5D6E-409C-BE32-E72D297353CC}">
              <c16:uniqueId val="{00000007-AB63-4B36-B583-114EA2D27348}"/>
            </c:ext>
          </c:extLst>
        </c:ser>
        <c:dLbls>
          <c:showLegendKey val="0"/>
          <c:showVal val="0"/>
          <c:showCatName val="0"/>
          <c:showSerName val="0"/>
          <c:showPercent val="0"/>
          <c:showBubbleSize val="0"/>
        </c:dLbls>
        <c:axId val="735296848"/>
        <c:axId val="735299592"/>
      </c:radarChart>
      <c:catAx>
        <c:axId val="735296848"/>
        <c:scaling>
          <c:orientation val="minMax"/>
        </c:scaling>
        <c:delete val="0"/>
        <c:axPos val="b"/>
        <c:majorGridlines>
          <c:spPr>
            <a:ln w="9525" cap="flat" cmpd="sng" algn="ctr">
              <a:solidFill>
                <a:schemeClr val="lt1">
                  <a:alpha val="25000"/>
                </a:schemeClr>
              </a:solidFill>
              <a:round/>
            </a:ln>
            <a:effectLst/>
          </c:spPr>
        </c:majorGridlines>
        <c:numFmt formatCode="General" sourceLinked="1"/>
        <c:majorTickMark val="out"/>
        <c:minorTickMark val="none"/>
        <c:tickLblPos val="none"/>
        <c:spPr>
          <a:noFill/>
          <a:ln w="3175" cap="flat" cmpd="sng" algn="ctr">
            <a:solidFill>
              <a:schemeClr val="accent1">
                <a:lumMod val="60000"/>
                <a:lumOff val="40000"/>
              </a:schemeClr>
            </a:solidFill>
            <a:round/>
          </a:ln>
          <a:effectLst/>
        </c:spPr>
        <c:txPr>
          <a:bodyPr rot="0" spcFirstLastPara="1" vertOverflow="ellipsis" wrap="square" anchor="ctr" anchorCtr="1"/>
          <a:lstStyle/>
          <a:p>
            <a:pPr>
              <a:defRPr sz="800" b="0" i="0" u="none" strike="noStrike" kern="1200" cap="all" spc="150" normalizeH="0" baseline="0">
                <a:solidFill>
                  <a:schemeClr val="lt1"/>
                </a:solidFill>
                <a:latin typeface="+mn-lt"/>
                <a:ea typeface="+mn-ea"/>
                <a:cs typeface="+mn-cs"/>
              </a:defRPr>
            </a:pPr>
            <a:endParaRPr lang="en-US"/>
          </a:p>
        </c:txPr>
        <c:crossAx val="735299592"/>
        <c:crosses val="autoZero"/>
        <c:auto val="1"/>
        <c:lblAlgn val="ctr"/>
        <c:lblOffset val="100"/>
        <c:noMultiLvlLbl val="0"/>
      </c:catAx>
      <c:valAx>
        <c:axId val="735299592"/>
        <c:scaling>
          <c:orientation val="minMax"/>
        </c:scaling>
        <c:delete val="1"/>
        <c:axPos val="l"/>
        <c:majorGridlines>
          <c:spPr>
            <a:ln w="25400" cap="flat" cmpd="sng" algn="ctr">
              <a:solidFill>
                <a:schemeClr val="bg1">
                  <a:lumMod val="65000"/>
                  <a:alpha val="35000"/>
                </a:schemeClr>
              </a:solidFill>
              <a:round/>
            </a:ln>
            <a:effectLst/>
          </c:spPr>
        </c:majorGridlines>
        <c:numFmt formatCode="#,##0.0," sourceLinked="1"/>
        <c:majorTickMark val="out"/>
        <c:minorTickMark val="none"/>
        <c:tickLblPos val="nextTo"/>
        <c:crossAx val="7352968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orientation="portrait"/>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087180700773058"/>
          <c:y val="0.31603107044051931"/>
          <c:w val="0.56759249271923207"/>
          <c:h val="0.65155108162500097"/>
        </c:manualLayout>
      </c:layout>
      <c:radarChart>
        <c:radarStyle val="filled"/>
        <c:varyColors val="0"/>
        <c:ser>
          <c:idx val="0"/>
          <c:order val="0"/>
          <c:tx>
            <c:strRef>
              <c:f>'SECTORAL ANALYSIS'!$S$24</c:f>
              <c:strCache>
                <c:ptCount val="1"/>
                <c:pt idx="0">
                  <c:v>2022</c:v>
                </c:pt>
              </c:strCache>
            </c:strRef>
          </c:tx>
          <c:spPr>
            <a:solidFill>
              <a:schemeClr val="accent6">
                <a:lumMod val="40000"/>
                <a:lumOff val="60000"/>
                <a:alpha val="65000"/>
              </a:schemeClr>
            </a:solidFill>
            <a:ln w="25400" cmpd="sng">
              <a:solidFill>
                <a:schemeClr val="accent6">
                  <a:lumMod val="50000"/>
                  <a:alpha val="55000"/>
                </a:schemeClr>
              </a:solidFill>
            </a:ln>
            <a:effectLst>
              <a:outerShdw dist="25400" dir="2700000" algn="tl" rotWithShape="0">
                <a:schemeClr val="accent6">
                  <a:lumMod val="20000"/>
                  <a:lumOff val="80000"/>
                </a:schemeClr>
              </a:outerShdw>
            </a:effectLst>
          </c:spPr>
          <c:dPt>
            <c:idx val="0"/>
            <c:bubble3D val="0"/>
            <c:extLst>
              <c:ext xmlns:c16="http://schemas.microsoft.com/office/drawing/2014/chart" uri="{C3380CC4-5D6E-409C-BE32-E72D297353CC}">
                <c16:uniqueId val="{00000000-4C4D-4EB3-A1C8-A3BFD1F781F3}"/>
              </c:ext>
            </c:extLst>
          </c:dPt>
          <c:dPt>
            <c:idx val="1"/>
            <c:bubble3D val="0"/>
            <c:extLst>
              <c:ext xmlns:c16="http://schemas.microsoft.com/office/drawing/2014/chart" uri="{C3380CC4-5D6E-409C-BE32-E72D297353CC}">
                <c16:uniqueId val="{00000001-4C4D-4EB3-A1C8-A3BFD1F781F3}"/>
              </c:ext>
            </c:extLst>
          </c:dPt>
          <c:dPt>
            <c:idx val="2"/>
            <c:bubble3D val="0"/>
            <c:extLst>
              <c:ext xmlns:c16="http://schemas.microsoft.com/office/drawing/2014/chart" uri="{C3380CC4-5D6E-409C-BE32-E72D297353CC}">
                <c16:uniqueId val="{00000002-4C4D-4EB3-A1C8-A3BFD1F781F3}"/>
              </c:ext>
            </c:extLst>
          </c:dPt>
          <c:dPt>
            <c:idx val="3"/>
            <c:bubble3D val="0"/>
            <c:extLst>
              <c:ext xmlns:c16="http://schemas.microsoft.com/office/drawing/2014/chart" uri="{C3380CC4-5D6E-409C-BE32-E72D297353CC}">
                <c16:uniqueId val="{00000003-4C4D-4EB3-A1C8-A3BFD1F781F3}"/>
              </c:ext>
            </c:extLst>
          </c:dPt>
          <c:dPt>
            <c:idx val="4"/>
            <c:bubble3D val="0"/>
            <c:extLst>
              <c:ext xmlns:c16="http://schemas.microsoft.com/office/drawing/2014/chart" uri="{C3380CC4-5D6E-409C-BE32-E72D297353CC}">
                <c16:uniqueId val="{00000004-4C4D-4EB3-A1C8-A3BFD1F781F3}"/>
              </c:ext>
            </c:extLst>
          </c:dPt>
          <c:dPt>
            <c:idx val="5"/>
            <c:bubble3D val="0"/>
            <c:extLst>
              <c:ext xmlns:c16="http://schemas.microsoft.com/office/drawing/2014/chart" uri="{C3380CC4-5D6E-409C-BE32-E72D297353CC}">
                <c16:uniqueId val="{00000005-4C4D-4EB3-A1C8-A3BFD1F781F3}"/>
              </c:ext>
            </c:extLst>
          </c:dPt>
          <c:dPt>
            <c:idx val="6"/>
            <c:bubble3D val="0"/>
            <c:extLst>
              <c:ext xmlns:c16="http://schemas.microsoft.com/office/drawing/2014/chart" uri="{C3380CC4-5D6E-409C-BE32-E72D297353CC}">
                <c16:uniqueId val="{00000006-4C4D-4EB3-A1C8-A3BFD1F781F3}"/>
              </c:ext>
            </c:extLst>
          </c:dPt>
          <c:dLbls>
            <c:dLbl>
              <c:idx val="0"/>
              <c:spPr>
                <a:solidFill>
                  <a:sysClr val="window" lastClr="FFFFFF"/>
                </a:solidFill>
                <a:ln>
                  <a:noFill/>
                </a:ln>
                <a:effectLst>
                  <a:outerShdw blurRad="63500" sx="102000" sy="102000" algn="ctr" rotWithShape="0">
                    <a:sysClr val="windowText" lastClr="000000">
                      <a:alpha val="40000"/>
                    </a:sysClr>
                  </a:outerShdw>
                </a:effectLst>
              </c:spPr>
              <c:txPr>
                <a:bodyPr rot="0" spcFirstLastPara="1" vertOverflow="clip" horzOverflow="clip" vert="horz" wrap="square" lIns="0" tIns="0" rIns="0" bIns="0" anchor="ctr" anchorCtr="0">
                  <a:spAutoFit/>
                </a:bodyPr>
                <a:lstStyle/>
                <a:p>
                  <a:pPr algn="ctr">
                    <a:defRPr lang="en-GB" sz="10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0-4C4D-4EB3-A1C8-A3BFD1F781F3}"/>
                </c:ext>
              </c:extLst>
            </c:dLbl>
            <c:dLbl>
              <c:idx val="1"/>
              <c:layout>
                <c:manualLayout>
                  <c:x val="1.8214936247723051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C4D-4EB3-A1C8-A3BFD1F781F3}"/>
                </c:ext>
              </c:extLst>
            </c:dLbl>
            <c:dLbl>
              <c:idx val="2"/>
              <c:spPr>
                <a:solidFill>
                  <a:sysClr val="window" lastClr="FFFFFF"/>
                </a:solidFill>
                <a:ln>
                  <a:noFill/>
                </a:ln>
                <a:effectLst>
                  <a:outerShdw blurRad="63500" sx="102000" sy="102000" algn="ctr" rotWithShape="0">
                    <a:sysClr val="windowText" lastClr="000000">
                      <a:alpha val="40000"/>
                    </a:sysClr>
                  </a:outerShdw>
                </a:effectLst>
              </c:spPr>
              <c:txPr>
                <a:bodyPr rot="0" spcFirstLastPara="1" vertOverflow="clip" horzOverflow="clip" vert="horz" wrap="square" lIns="0" tIns="0" rIns="0" bIns="0" anchor="ctr" anchorCtr="0">
                  <a:spAutoFit/>
                </a:bodyPr>
                <a:lstStyle/>
                <a:p>
                  <a:pPr algn="ctr">
                    <a:defRPr lang="en-GB" sz="1000" b="1" i="0" u="none" strike="noStrike" kern="1200" baseline="0">
                      <a:solidFill>
                        <a:schemeClr val="accent6">
                          <a:lumMod val="7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2-4C4D-4EB3-A1C8-A3BFD1F781F3}"/>
                </c:ext>
              </c:extLst>
            </c:dLbl>
            <c:dLbl>
              <c:idx val="3"/>
              <c:spPr>
                <a:solidFill>
                  <a:sysClr val="window" lastClr="FFFFFF"/>
                </a:solidFill>
                <a:ln>
                  <a:noFill/>
                </a:ln>
                <a:effectLst>
                  <a:outerShdw blurRad="63500" sx="102000" sy="102000" algn="ctr" rotWithShape="0">
                    <a:sysClr val="windowText" lastClr="000000">
                      <a:alpha val="40000"/>
                    </a:sysClr>
                  </a:outerShdw>
                </a:effectLst>
              </c:spPr>
              <c:txPr>
                <a:bodyPr rot="0" spcFirstLastPara="1" vertOverflow="clip" horzOverflow="clip" vert="horz" wrap="square" lIns="0" tIns="0" rIns="0" bIns="0" anchor="ctr" anchorCtr="0">
                  <a:spAutoFit/>
                </a:bodyPr>
                <a:lstStyle/>
                <a:p>
                  <a:pPr algn="ctr">
                    <a:defRPr lang="en-GB" sz="1000" b="1" i="0" u="none" strike="noStrike" kern="1200" baseline="0">
                      <a:solidFill>
                        <a:schemeClr val="accent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3-4C4D-4EB3-A1C8-A3BFD1F781F3}"/>
                </c:ext>
              </c:extLst>
            </c:dLbl>
            <c:dLbl>
              <c:idx val="4"/>
              <c:spPr>
                <a:solidFill>
                  <a:sysClr val="window" lastClr="FFFFFF"/>
                </a:solidFill>
                <a:ln>
                  <a:noFill/>
                </a:ln>
                <a:effectLst>
                  <a:outerShdw blurRad="63500" sx="102000" sy="102000" algn="ctr" rotWithShape="0">
                    <a:sysClr val="windowText" lastClr="000000">
                      <a:alpha val="40000"/>
                    </a:sysClr>
                  </a:outerShdw>
                </a:effectLst>
              </c:spPr>
              <c:txPr>
                <a:bodyPr rot="0" spcFirstLastPara="1" vertOverflow="clip" horzOverflow="clip" vert="horz" wrap="square" lIns="0" tIns="0" rIns="0" bIns="0" anchor="ctr" anchorCtr="0">
                  <a:spAutoFit/>
                </a:bodyPr>
                <a:lstStyle/>
                <a:p>
                  <a:pPr algn="ctr">
                    <a:defRPr lang="en-GB" sz="1000" b="1" i="0" u="none" strike="noStrike" kern="1200" baseline="0">
                      <a:solidFill>
                        <a:schemeClr val="accent4">
                          <a:lumMod val="60000"/>
                          <a:lumOff val="40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4-4C4D-4EB3-A1C8-A3BFD1F781F3}"/>
                </c:ext>
              </c:extLst>
            </c:dLbl>
            <c:dLbl>
              <c:idx val="5"/>
              <c:spPr>
                <a:solidFill>
                  <a:sysClr val="window" lastClr="FFFFFF"/>
                </a:solidFill>
                <a:ln>
                  <a:noFill/>
                </a:ln>
                <a:effectLst>
                  <a:outerShdw blurRad="63500" sx="102000" sy="102000" algn="ctr" rotWithShape="0">
                    <a:sysClr val="windowText" lastClr="000000">
                      <a:alpha val="40000"/>
                    </a:sysClr>
                  </a:outerShdw>
                </a:effectLst>
              </c:spPr>
              <c:txPr>
                <a:bodyPr rot="0" spcFirstLastPara="1" vertOverflow="clip" horzOverflow="clip" vert="horz" wrap="square" lIns="0" tIns="0" rIns="0" bIns="0" anchor="ctr" anchorCtr="0">
                  <a:spAutoFit/>
                </a:bodyPr>
                <a:lstStyle/>
                <a:p>
                  <a:pPr algn="ctr">
                    <a:defRPr lang="en-GB" sz="1000" b="1" i="0" u="none" strike="noStrike" kern="1200" baseline="0">
                      <a:solidFill>
                        <a:schemeClr val="accent3">
                          <a:lumMod val="7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5-4C4D-4EB3-A1C8-A3BFD1F781F3}"/>
                </c:ext>
              </c:extLst>
            </c:dLbl>
            <c:spPr>
              <a:solidFill>
                <a:sysClr val="window" lastClr="FFFFFF"/>
              </a:solidFill>
              <a:ln>
                <a:noFill/>
              </a:ln>
              <a:effectLst>
                <a:outerShdw blurRad="63500" sx="102000" sy="102000" algn="ctr" rotWithShape="0">
                  <a:sysClr val="windowText" lastClr="000000">
                    <a:alpha val="40000"/>
                  </a:sysClr>
                </a:outerShdw>
              </a:effectLst>
            </c:spPr>
            <c:txPr>
              <a:bodyPr rot="0" spcFirstLastPara="1" vertOverflow="clip" horzOverflow="clip" vert="horz" wrap="square" lIns="0" tIns="0" rIns="0" bIns="0" anchor="ctr" anchorCtr="0">
                <a:spAutoFit/>
              </a:bodyPr>
              <a:lstStyle/>
              <a:p>
                <a:pPr algn="ctr">
                  <a:defRPr lang="en-GB" sz="1000" b="1" i="0" u="none" strike="noStrike" kern="1200" baseline="0">
                    <a:solidFill>
                      <a:schemeClr val="accent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15:showLeaderLines val="0"/>
              </c:ext>
            </c:extLst>
          </c:dLbls>
          <c:cat>
            <c:strRef>
              <c:f>('SECTORAL ANALYSIS'!$U$25:$U$29,'SECTORAL ANALYSIS'!$U$31)</c:f>
              <c:strCache>
                <c:ptCount val="6"/>
                <c:pt idx="0">
                  <c:v>Accommodation (33.1%)</c:v>
                </c:pt>
                <c:pt idx="1">
                  <c:v>Food &amp; Drink (19.2%)</c:v>
                </c:pt>
                <c:pt idx="2">
                  <c:v>Recreation (6.2%)</c:v>
                </c:pt>
                <c:pt idx="3">
                  <c:v>Shopping (18.8%)</c:v>
                </c:pt>
                <c:pt idx="4">
                  <c:v>Transport (3.2%)</c:v>
                </c:pt>
                <c:pt idx="5">
                  <c:v>Indirect Employment (19.5%)</c:v>
                </c:pt>
              </c:strCache>
            </c:strRef>
          </c:cat>
          <c:val>
            <c:numRef>
              <c:f>('SECTORAL ANALYSIS'!$S$25:$S$29,'SECTORAL ANALYSIS'!$S$31)</c:f>
              <c:numCache>
                <c:formatCode>#,##0</c:formatCode>
                <c:ptCount val="6"/>
                <c:pt idx="0">
                  <c:v>5875.3451959867552</c:v>
                </c:pt>
                <c:pt idx="1">
                  <c:v>3399.8450586470121</c:v>
                </c:pt>
                <c:pt idx="2">
                  <c:v>1102.5079334790339</c:v>
                </c:pt>
                <c:pt idx="3">
                  <c:v>3334.7940742874412</c:v>
                </c:pt>
                <c:pt idx="4">
                  <c:v>571.52506817873223</c:v>
                </c:pt>
                <c:pt idx="5">
                  <c:v>3452.6122607069742</c:v>
                </c:pt>
              </c:numCache>
            </c:numRef>
          </c:val>
          <c:extLst>
            <c:ext xmlns:c16="http://schemas.microsoft.com/office/drawing/2014/chart" uri="{C3380CC4-5D6E-409C-BE32-E72D297353CC}">
              <c16:uniqueId val="{00000007-4C4D-4EB3-A1C8-A3BFD1F781F3}"/>
            </c:ext>
          </c:extLst>
        </c:ser>
        <c:dLbls>
          <c:showLegendKey val="0"/>
          <c:showVal val="0"/>
          <c:showCatName val="0"/>
          <c:showSerName val="0"/>
          <c:showPercent val="0"/>
          <c:showBubbleSize val="0"/>
        </c:dLbls>
        <c:axId val="735296456"/>
        <c:axId val="735290968"/>
      </c:radarChart>
      <c:catAx>
        <c:axId val="735296456"/>
        <c:scaling>
          <c:orientation val="minMax"/>
        </c:scaling>
        <c:delete val="0"/>
        <c:axPos val="b"/>
        <c:majorGridlines>
          <c:spPr>
            <a:ln w="9525" cap="flat" cmpd="sng" algn="ctr">
              <a:solidFill>
                <a:schemeClr val="lt1">
                  <a:alpha val="25000"/>
                </a:schemeClr>
              </a:solidFill>
              <a:round/>
            </a:ln>
            <a:effectLst/>
          </c:spPr>
        </c:majorGridlines>
        <c:numFmt formatCode="General" sourceLinked="1"/>
        <c:majorTickMark val="out"/>
        <c:minorTickMark val="none"/>
        <c:tickLblPos val="none"/>
        <c:spPr>
          <a:noFill/>
          <a:ln w="3175" cap="flat" cmpd="sng" algn="ctr">
            <a:solidFill>
              <a:schemeClr val="accent1">
                <a:lumMod val="60000"/>
                <a:lumOff val="40000"/>
              </a:schemeClr>
            </a:solidFill>
            <a:round/>
          </a:ln>
          <a:effectLst/>
        </c:spPr>
        <c:txPr>
          <a:bodyPr rot="0" spcFirstLastPara="1" vertOverflow="ellipsis" wrap="square" anchor="ctr" anchorCtr="1"/>
          <a:lstStyle/>
          <a:p>
            <a:pPr>
              <a:defRPr sz="800" b="0" i="0" u="none" strike="noStrike" kern="1200" cap="all" spc="150" normalizeH="0" baseline="0">
                <a:solidFill>
                  <a:schemeClr val="lt1"/>
                </a:solidFill>
                <a:latin typeface="+mn-lt"/>
                <a:ea typeface="+mn-ea"/>
                <a:cs typeface="+mn-cs"/>
              </a:defRPr>
            </a:pPr>
            <a:endParaRPr lang="en-US"/>
          </a:p>
        </c:txPr>
        <c:crossAx val="735290968"/>
        <c:crosses val="autoZero"/>
        <c:auto val="1"/>
        <c:lblAlgn val="ctr"/>
        <c:lblOffset val="100"/>
        <c:noMultiLvlLbl val="0"/>
      </c:catAx>
      <c:valAx>
        <c:axId val="735290968"/>
        <c:scaling>
          <c:orientation val="minMax"/>
        </c:scaling>
        <c:delete val="1"/>
        <c:axPos val="l"/>
        <c:majorGridlines>
          <c:spPr>
            <a:ln w="25400" cap="flat" cmpd="sng" algn="ctr">
              <a:solidFill>
                <a:schemeClr val="bg1">
                  <a:lumMod val="65000"/>
                  <a:alpha val="35000"/>
                </a:schemeClr>
              </a:solidFill>
              <a:round/>
            </a:ln>
            <a:effectLst/>
          </c:spPr>
        </c:majorGridlines>
        <c:numFmt formatCode="#,##0" sourceLinked="1"/>
        <c:majorTickMark val="out"/>
        <c:minorTickMark val="none"/>
        <c:tickLblPos val="nextTo"/>
        <c:crossAx val="735296456"/>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orientation="portrait"/>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27029791174591639"/>
          <c:y val="5.3890945750986421E-2"/>
          <c:w val="0.72970208825408356"/>
          <c:h val="0.89221810849802718"/>
        </c:manualLayout>
      </c:layout>
      <c:barChart>
        <c:barDir val="col"/>
        <c:grouping val="clustered"/>
        <c:varyColors val="0"/>
        <c:ser>
          <c:idx val="0"/>
          <c:order val="0"/>
          <c:tx>
            <c:strRef>
              <c:f>'COMPARATIVE HEADLINES'!$E$13</c:f>
              <c:strCache>
                <c:ptCount val="1"/>
                <c:pt idx="0">
                  <c:v>Visitor Days</c:v>
                </c:pt>
              </c:strCache>
            </c:strRef>
          </c:tx>
          <c:spPr>
            <a:solidFill>
              <a:srgbClr val="FF0000"/>
            </a:solidFill>
            <a:ln>
              <a:solidFill>
                <a:schemeClr val="bg1"/>
              </a:solidFill>
            </a:ln>
            <a:effectLst/>
          </c:spPr>
          <c:invertIfNegative val="0"/>
          <c:dLbls>
            <c:dLbl>
              <c:idx val="0"/>
              <c:numFmt formatCode="0.0%" sourceLinked="0"/>
              <c:spPr>
                <a:solidFill>
                  <a:schemeClr val="bg1">
                    <a:alpha val="25000"/>
                  </a:schemeClr>
                </a:solidFill>
                <a:ln>
                  <a:noFill/>
                </a:ln>
                <a:effectLst/>
              </c:spPr>
              <c:txPr>
                <a:bodyPr rot="-5400000" spcFirstLastPara="1" vertOverflow="ellipsis" horzOverflow="clip" vert="horz" wrap="square" lIns="38100" tIns="38160" rIns="38100" bIns="38160" anchor="b" anchorCtr="0">
                  <a:spAutoFit/>
                </a:bodyPr>
                <a:lstStyle/>
                <a:p>
                  <a:pPr algn="ctr" rtl="0">
                    <a:defRPr lang="en-GB" sz="1000" b="1" i="0" u="none" strike="noStrike" kern="1200" baseline="0">
                      <a:ln w="0">
                        <a:noFill/>
                      </a:ln>
                      <a:solidFill>
                        <a:sysClr val="windowText" lastClr="000000"/>
                      </a:solidFill>
                      <a:effectLst>
                        <a:outerShdw blurRad="63500" sx="126000" sy="126000" algn="ctr" rotWithShape="0">
                          <a:schemeClr val="bg1">
                            <a:alpha val="26000"/>
                          </a:schemeClr>
                        </a:outerShdw>
                      </a:effectLst>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 xmlns:c16="http://schemas.microsoft.com/office/drawing/2014/chart" uri="{C3380CC4-5D6E-409C-BE32-E72D297353CC}">
                  <c16:uniqueId val="{00000000-B555-48AE-A558-C5DF1DD08700}"/>
                </c:ext>
              </c:extLst>
            </c:dLbl>
            <c:numFmt formatCode="0.0%" sourceLinked="0"/>
            <c:spPr>
              <a:solidFill>
                <a:schemeClr val="bg1">
                  <a:alpha val="25000"/>
                </a:schemeClr>
              </a:solidFill>
              <a:ln>
                <a:noFill/>
              </a:ln>
              <a:effectLst/>
            </c:spPr>
            <c:txPr>
              <a:bodyPr rot="-5400000" spcFirstLastPara="1" vertOverflow="ellipsis" wrap="square" lIns="38100" tIns="19050" rIns="38100" bIns="19050" anchor="b" anchorCtr="0">
                <a:spAutoFit/>
              </a:bodyPr>
              <a:lstStyle/>
              <a:p>
                <a:pPr algn="ctr" rtl="0">
                  <a:defRPr lang="en-GB" sz="1000" b="1" i="0" u="none" strike="noStrike" kern="1200" baseline="0">
                    <a:ln w="0">
                      <a:noFill/>
                    </a:ln>
                    <a:solidFill>
                      <a:sysClr val="windowText" lastClr="000000"/>
                    </a:solidFill>
                    <a:effectLst>
                      <a:outerShdw blurRad="63500" sx="126000" sy="126000" algn="ctr" rotWithShape="0">
                        <a:schemeClr val="bg1">
                          <a:alpha val="26000"/>
                        </a:schemeClr>
                      </a:outerShdw>
                    </a:effectLst>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'COMPARATIVE HEADLINES'!$L$13</c:f>
              <c:numCache>
                <c:formatCode>0.0%</c:formatCode>
                <c:ptCount val="1"/>
                <c:pt idx="0">
                  <c:v>0.29361279179772404</c:v>
                </c:pt>
              </c:numCache>
            </c:numRef>
          </c:val>
          <c:extLst>
            <c:ext xmlns:c16="http://schemas.microsoft.com/office/drawing/2014/chart" uri="{C3380CC4-5D6E-409C-BE32-E72D297353CC}">
              <c16:uniqueId val="{00000001-B555-48AE-A558-C5DF1DD08700}"/>
            </c:ext>
          </c:extLst>
        </c:ser>
        <c:ser>
          <c:idx val="1"/>
          <c:order val="1"/>
          <c:tx>
            <c:strRef>
              <c:f>'COMPARATIVE HEADLINES'!$E$14</c:f>
              <c:strCache>
                <c:ptCount val="1"/>
                <c:pt idx="0">
                  <c:v>Visitor Numbers</c:v>
                </c:pt>
              </c:strCache>
            </c:strRef>
          </c:tx>
          <c:spPr>
            <a:solidFill>
              <a:srgbClr val="00B050"/>
            </a:solidFill>
            <a:ln>
              <a:solidFill>
                <a:schemeClr val="bg1"/>
              </a:solidFill>
            </a:ln>
            <a:effectLst/>
          </c:spPr>
          <c:invertIfNegative val="0"/>
          <c:dLbls>
            <c:dLbl>
              <c:idx val="0"/>
              <c:numFmt formatCode="0.0%" sourceLinked="0"/>
              <c:spPr>
                <a:solidFill>
                  <a:schemeClr val="bg1">
                    <a:alpha val="25000"/>
                  </a:schemeClr>
                </a:solidFill>
                <a:ln>
                  <a:noFill/>
                </a:ln>
                <a:effectLst/>
              </c:spPr>
              <c:txPr>
                <a:bodyPr rot="-5400000" spcFirstLastPara="1" vertOverflow="ellipsis" horzOverflow="clip" vert="horz" wrap="square" lIns="38160" tIns="38160" rIns="38100" bIns="38160" anchor="ctr" anchorCtr="0">
                  <a:spAutoFit/>
                </a:bodyPr>
                <a:lstStyle/>
                <a:p>
                  <a:pPr algn="ctr">
                    <a:defRPr lang="en-US" sz="1000" b="1" i="0" u="none" strike="noStrike" kern="1200" baseline="0">
                      <a:ln w="0">
                        <a:noFill/>
                      </a:ln>
                      <a:solidFill>
                        <a:sysClr val="windowText" lastClr="000000"/>
                      </a:solidFill>
                      <a:effectLst>
                        <a:outerShdw blurRad="63500" sx="126000" sy="126000" algn="ctr" rotWithShape="0">
                          <a:schemeClr val="bg1">
                            <a:alpha val="26000"/>
                          </a:schemeClr>
                        </a:outerShdw>
                      </a:effectLst>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 xmlns:c16="http://schemas.microsoft.com/office/drawing/2014/chart" uri="{C3380CC4-5D6E-409C-BE32-E72D297353CC}">
                  <c16:uniqueId val="{00000002-B555-48AE-A558-C5DF1DD08700}"/>
                </c:ext>
              </c:extLst>
            </c:dLbl>
            <c:numFmt formatCode="0.0%" sourceLinked="0"/>
            <c:spPr>
              <a:solidFill>
                <a:schemeClr val="bg1">
                  <a:alpha val="25000"/>
                </a:schemeClr>
              </a:solidFill>
              <a:ln>
                <a:noFill/>
              </a:ln>
              <a:effectLst/>
            </c:spPr>
            <c:txPr>
              <a:bodyPr rot="0" spcFirstLastPara="1" vertOverflow="ellipsis" vert="horz" wrap="square" lIns="38160" tIns="38160" rIns="38100" bIns="38160" anchor="ctr" anchorCtr="0">
                <a:spAutoFit/>
              </a:bodyPr>
              <a:lstStyle/>
              <a:p>
                <a:pPr algn="ctr">
                  <a:defRPr lang="en-GB" sz="1000" b="1" i="0" u="none" strike="noStrike" kern="1200" baseline="0">
                    <a:ln w="0">
                      <a:noFill/>
                    </a:ln>
                    <a:solidFill>
                      <a:sysClr val="windowText" lastClr="000000"/>
                    </a:solidFill>
                    <a:effectLst>
                      <a:outerShdw blurRad="63500" sx="126000" sy="126000" algn="ctr" rotWithShape="0">
                        <a:schemeClr val="bg1">
                          <a:alpha val="26000"/>
                        </a:schemeClr>
                      </a:outerShdw>
                    </a:effectLst>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'COMPARATIVE HEADLINES'!$L$14</c:f>
              <c:numCache>
                <c:formatCode>0.0%</c:formatCode>
                <c:ptCount val="1"/>
                <c:pt idx="0">
                  <c:v>0.39330482036249004</c:v>
                </c:pt>
              </c:numCache>
            </c:numRef>
          </c:val>
          <c:extLst>
            <c:ext xmlns:c16="http://schemas.microsoft.com/office/drawing/2014/chart" uri="{C3380CC4-5D6E-409C-BE32-E72D297353CC}">
              <c16:uniqueId val="{00000003-B555-48AE-A558-C5DF1DD08700}"/>
            </c:ext>
          </c:extLst>
        </c:ser>
        <c:ser>
          <c:idx val="2"/>
          <c:order val="2"/>
          <c:tx>
            <c:strRef>
              <c:f>'COMPARATIVE HEADLINES'!$E$16</c:f>
              <c:strCache>
                <c:ptCount val="1"/>
                <c:pt idx="0">
                  <c:v>Economic Impact</c:v>
                </c:pt>
              </c:strCache>
            </c:strRef>
          </c:tx>
          <c:spPr>
            <a:solidFill>
              <a:schemeClr val="accent1"/>
            </a:solidFill>
            <a:ln>
              <a:solidFill>
                <a:schemeClr val="bg1"/>
              </a:solidFill>
            </a:ln>
            <a:effectLst/>
          </c:spPr>
          <c:invertIfNegative val="0"/>
          <c:dLbls>
            <c:dLbl>
              <c:idx val="0"/>
              <c:numFmt formatCode="0.0%" sourceLinked="0"/>
              <c:spPr>
                <a:solidFill>
                  <a:schemeClr val="bg1">
                    <a:alpha val="25000"/>
                  </a:schemeClr>
                </a:solidFill>
                <a:ln>
                  <a:noFill/>
                </a:ln>
                <a:effectLst/>
              </c:spPr>
              <c:txPr>
                <a:bodyPr rot="-5400000" spcFirstLastPara="1" vertOverflow="ellipsis" horzOverflow="clip" vert="horz" wrap="square" lIns="38100" tIns="38160" rIns="38100" bIns="38160" anchor="b" anchorCtr="0">
                  <a:spAutoFit/>
                </a:bodyPr>
                <a:lstStyle/>
                <a:p>
                  <a:pPr algn="ctr" rtl="0">
                    <a:defRPr lang="en-GB" sz="1000" b="1" i="0" u="none" strike="noStrike" kern="1200" baseline="0">
                      <a:ln w="0">
                        <a:noFill/>
                      </a:ln>
                      <a:solidFill>
                        <a:sysClr val="windowText" lastClr="000000"/>
                      </a:solidFill>
                      <a:effectLst>
                        <a:outerShdw blurRad="63500" sx="126000" sy="126000" algn="ctr" rotWithShape="0">
                          <a:schemeClr val="bg1">
                            <a:alpha val="26000"/>
                          </a:schemeClr>
                        </a:outerShdw>
                      </a:effectLst>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 xmlns:c16="http://schemas.microsoft.com/office/drawing/2014/chart" uri="{C3380CC4-5D6E-409C-BE32-E72D297353CC}">
                  <c16:uniqueId val="{00000004-B555-48AE-A558-C5DF1DD08700}"/>
                </c:ext>
              </c:extLst>
            </c:dLbl>
            <c:numFmt formatCode="0.0%" sourceLinked="0"/>
            <c:spPr>
              <a:solidFill>
                <a:schemeClr val="bg1">
                  <a:alpha val="25000"/>
                </a:schemeClr>
              </a:solidFill>
              <a:ln>
                <a:noFill/>
              </a:ln>
              <a:effectLst/>
            </c:spPr>
            <c:txPr>
              <a:bodyPr rot="0" spcFirstLastPara="1" vertOverflow="ellipsis" vert="horz" wrap="square" lIns="38100" tIns="38160" rIns="38100" bIns="38160" anchor="ctr" anchorCtr="0">
                <a:spAutoFit/>
              </a:bodyPr>
              <a:lstStyle/>
              <a:p>
                <a:pPr algn="ctr" rtl="0">
                  <a:defRPr lang="en-GB" sz="1000" b="1" i="0" u="none" strike="noStrike" kern="1200" baseline="0">
                    <a:ln w="0">
                      <a:noFill/>
                    </a:ln>
                    <a:solidFill>
                      <a:sysClr val="windowText" lastClr="000000"/>
                    </a:solidFill>
                    <a:effectLst>
                      <a:outerShdw blurRad="63500" sx="126000" sy="126000" algn="ctr" rotWithShape="0">
                        <a:schemeClr val="bg1">
                          <a:alpha val="26000"/>
                        </a:schemeClr>
                      </a:outerShdw>
                    </a:effectLst>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'COMPARATIVE HEADLINES'!$L$16</c:f>
              <c:numCache>
                <c:formatCode>0.0%</c:formatCode>
                <c:ptCount val="1"/>
                <c:pt idx="0">
                  <c:v>0.17647692032451934</c:v>
                </c:pt>
              </c:numCache>
            </c:numRef>
          </c:val>
          <c:extLst>
            <c:ext xmlns:c16="http://schemas.microsoft.com/office/drawing/2014/chart" uri="{C3380CC4-5D6E-409C-BE32-E72D297353CC}">
              <c16:uniqueId val="{00000005-B555-48AE-A558-C5DF1DD08700}"/>
            </c:ext>
          </c:extLst>
        </c:ser>
        <c:ser>
          <c:idx val="3"/>
          <c:order val="3"/>
          <c:tx>
            <c:strRef>
              <c:f>'COMPARATIVE HEADLINES'!$E$17</c:f>
              <c:strCache>
                <c:ptCount val="1"/>
                <c:pt idx="0">
                  <c:v>Direct Employment</c:v>
                </c:pt>
              </c:strCache>
            </c:strRef>
          </c:tx>
          <c:spPr>
            <a:solidFill>
              <a:schemeClr val="accent6">
                <a:lumMod val="60000"/>
                <a:lumOff val="40000"/>
              </a:schemeClr>
            </a:solidFill>
            <a:ln>
              <a:solidFill>
                <a:schemeClr val="bg1"/>
              </a:solidFill>
            </a:ln>
            <a:effectLst/>
          </c:spPr>
          <c:invertIfNegative val="0"/>
          <c:dLbls>
            <c:numFmt formatCode="0.0%" sourceLinked="0"/>
            <c:spPr>
              <a:solidFill>
                <a:schemeClr val="bg1">
                  <a:alpha val="25000"/>
                </a:schemeClr>
              </a:solidFill>
              <a:ln>
                <a:noFill/>
              </a:ln>
              <a:effectLst/>
            </c:spPr>
            <c:txPr>
              <a:bodyPr rot="-5400000" spcFirstLastPara="1" vertOverflow="ellipsis" horzOverflow="clip" vert="horz" wrap="square" lIns="38100" tIns="38160" rIns="38100" bIns="38160" anchor="ctr" anchorCtr="0">
                <a:spAutoFit/>
              </a:bodyPr>
              <a:lstStyle/>
              <a:p>
                <a:pPr algn="ctr" rtl="0">
                  <a:defRPr lang="en-GB" sz="1000" b="1" i="0" u="none" strike="noStrike" kern="1200" baseline="0">
                    <a:ln w="0">
                      <a:noFill/>
                    </a:ln>
                    <a:solidFill>
                      <a:sysClr val="windowText" lastClr="000000"/>
                    </a:solidFill>
                    <a:effectLst>
                      <a:outerShdw blurRad="63500" sx="126000" sy="126000" algn="ctr" rotWithShape="0">
                        <a:schemeClr val="bg1">
                          <a:alpha val="26000"/>
                        </a:schemeClr>
                      </a:outerShdw>
                    </a:effectLst>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cap="flat" cmpd="sng" algn="ctr">
                      <a:solidFill>
                        <a:schemeClr val="tx1">
                          <a:lumMod val="35000"/>
                          <a:lumOff val="65000"/>
                        </a:schemeClr>
                      </a:solidFill>
                      <a:round/>
                    </a:ln>
                    <a:effectLst/>
                  </c:spPr>
                </c15:leaderLines>
              </c:ext>
            </c:extLst>
          </c:dLbls>
          <c:val>
            <c:numRef>
              <c:f>'COMPARATIVE HEADLINES'!$L$17</c:f>
              <c:numCache>
                <c:formatCode>0.0%</c:formatCode>
                <c:ptCount val="1"/>
                <c:pt idx="0">
                  <c:v>0.15324202824463273</c:v>
                </c:pt>
              </c:numCache>
            </c:numRef>
          </c:val>
          <c:extLst>
            <c:ext xmlns:c16="http://schemas.microsoft.com/office/drawing/2014/chart" uri="{C3380CC4-5D6E-409C-BE32-E72D297353CC}">
              <c16:uniqueId val="{00000006-B555-48AE-A558-C5DF1DD08700}"/>
            </c:ext>
          </c:extLst>
        </c:ser>
        <c:dLbls>
          <c:dLblPos val="outEnd"/>
          <c:showLegendKey val="0"/>
          <c:showVal val="1"/>
          <c:showCatName val="0"/>
          <c:showSerName val="0"/>
          <c:showPercent val="0"/>
          <c:showBubbleSize val="0"/>
        </c:dLbls>
        <c:gapWidth val="0"/>
        <c:overlap val="10"/>
        <c:axId val="683552128"/>
        <c:axId val="683556440"/>
      </c:barChart>
      <c:catAx>
        <c:axId val="683552128"/>
        <c:scaling>
          <c:orientation val="minMax"/>
        </c:scaling>
        <c:delete val="1"/>
        <c:axPos val="b"/>
        <c:majorTickMark val="none"/>
        <c:minorTickMark val="none"/>
        <c:tickLblPos val="nextTo"/>
        <c:crossAx val="683556440"/>
        <c:crosses val="autoZero"/>
        <c:auto val="1"/>
        <c:lblAlgn val="ctr"/>
        <c:lblOffset val="100"/>
        <c:noMultiLvlLbl val="0"/>
      </c:catAx>
      <c:valAx>
        <c:axId val="683556440"/>
        <c:scaling>
          <c:orientation val="minMax"/>
        </c:scaling>
        <c:delete val="0"/>
        <c:axPos val="l"/>
        <c:majorGridlines>
          <c:spPr>
            <a:ln w="9525" cap="flat" cmpd="sng" algn="ctr">
              <a:no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lgn="ctr">
              <a:defRPr lang="en-GB" sz="800" b="1" i="0" u="none" strike="noStrike" kern="1200" baseline="0">
                <a:ln w="0">
                  <a:noFill/>
                </a:ln>
                <a:solidFill>
                  <a:sysClr val="windowText" lastClr="000000"/>
                </a:solidFill>
                <a:effectLst>
                  <a:outerShdw blurRad="63500" sx="126000" sy="126000" algn="ctr" rotWithShape="0">
                    <a:schemeClr val="bg1">
                      <a:alpha val="26000"/>
                    </a:schemeClr>
                  </a:outerShdw>
                </a:effectLst>
                <a:latin typeface="+mn-lt"/>
                <a:ea typeface="+mn-ea"/>
                <a:cs typeface="+mn-cs"/>
              </a:defRPr>
            </a:pPr>
            <a:endParaRPr lang="en-US"/>
          </a:p>
        </c:txPr>
        <c:crossAx val="683552128"/>
        <c:crosses val="autoZero"/>
        <c:crossBetween val="between"/>
      </c:valAx>
      <c:spPr>
        <a:noFill/>
        <a:ln>
          <a:noFill/>
        </a:ln>
        <a:effectLst/>
      </c:spPr>
    </c:plotArea>
    <c:plotVisOnly val="1"/>
    <c:dispBlanksAs val="gap"/>
    <c:showDLblsOverMax val="0"/>
  </c:chart>
  <c:spPr>
    <a:solidFill>
      <a:sysClr val="window" lastClr="FFFFFF">
        <a:alpha val="5000"/>
      </a:sys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27029791174591639"/>
          <c:y val="5.3890945750986421E-2"/>
          <c:w val="0.72970208825408356"/>
          <c:h val="0.89221810849802718"/>
        </c:manualLayout>
      </c:layout>
      <c:barChart>
        <c:barDir val="col"/>
        <c:grouping val="clustered"/>
        <c:varyColors val="0"/>
        <c:ser>
          <c:idx val="0"/>
          <c:order val="0"/>
          <c:tx>
            <c:strRef>
              <c:f>'COMPARATIVE HEADLINES'!$E$13</c:f>
              <c:strCache>
                <c:ptCount val="1"/>
                <c:pt idx="0">
                  <c:v>Visitor Days</c:v>
                </c:pt>
              </c:strCache>
            </c:strRef>
          </c:tx>
          <c:spPr>
            <a:solidFill>
              <a:srgbClr val="FF0000"/>
            </a:solidFill>
            <a:ln>
              <a:solidFill>
                <a:schemeClr val="bg1"/>
              </a:solidFill>
            </a:ln>
            <a:effectLst/>
          </c:spPr>
          <c:invertIfNegative val="0"/>
          <c:dLbls>
            <c:dLbl>
              <c:idx val="0"/>
              <c:numFmt formatCode="0.0%" sourceLinked="0"/>
              <c:spPr>
                <a:solidFill>
                  <a:schemeClr val="bg1">
                    <a:alpha val="25000"/>
                  </a:schemeClr>
                </a:solidFill>
                <a:ln>
                  <a:noFill/>
                </a:ln>
                <a:effectLst/>
              </c:spPr>
              <c:txPr>
                <a:bodyPr rot="-5400000" spcFirstLastPara="1" vertOverflow="ellipsis" horzOverflow="clip" vert="horz" wrap="square" lIns="38100" tIns="38160" rIns="38100" bIns="38160" anchor="b" anchorCtr="0">
                  <a:spAutoFit/>
                </a:bodyPr>
                <a:lstStyle/>
                <a:p>
                  <a:pPr algn="ctr" rtl="0">
                    <a:defRPr lang="en-GB" sz="1000" b="1" i="0" u="none" strike="noStrike" kern="1200" baseline="0">
                      <a:ln w="0">
                        <a:noFill/>
                      </a:ln>
                      <a:solidFill>
                        <a:sysClr val="windowText" lastClr="000000"/>
                      </a:solidFill>
                      <a:effectLst>
                        <a:outerShdw blurRad="63500" sx="126000" sy="126000" algn="ctr" rotWithShape="0">
                          <a:schemeClr val="bg1">
                            <a:alpha val="26000"/>
                          </a:schemeClr>
                        </a:outerShdw>
                      </a:effectLst>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 xmlns:c16="http://schemas.microsoft.com/office/drawing/2014/chart" uri="{C3380CC4-5D6E-409C-BE32-E72D297353CC}">
                  <c16:uniqueId val="{00000000-D478-4DB6-B9D4-3CAE5873D6CD}"/>
                </c:ext>
              </c:extLst>
            </c:dLbl>
            <c:numFmt formatCode="0.0%" sourceLinked="0"/>
            <c:spPr>
              <a:solidFill>
                <a:schemeClr val="bg1">
                  <a:alpha val="25000"/>
                </a:schemeClr>
              </a:solidFill>
              <a:ln>
                <a:noFill/>
              </a:ln>
              <a:effectLst/>
            </c:spPr>
            <c:txPr>
              <a:bodyPr rot="-5400000" spcFirstLastPara="1" vertOverflow="ellipsis" wrap="square" lIns="38100" tIns="19050" rIns="38100" bIns="19050" anchor="b" anchorCtr="0">
                <a:spAutoFit/>
              </a:bodyPr>
              <a:lstStyle/>
              <a:p>
                <a:pPr algn="ctr" rtl="0">
                  <a:defRPr lang="en-GB" sz="1000" b="1" i="0" u="none" strike="noStrike" kern="1200" baseline="0">
                    <a:ln w="0">
                      <a:noFill/>
                    </a:ln>
                    <a:solidFill>
                      <a:sysClr val="windowText" lastClr="000000"/>
                    </a:solidFill>
                    <a:effectLst>
                      <a:outerShdw blurRad="63500" sx="126000" sy="126000" algn="ctr" rotWithShape="0">
                        <a:schemeClr val="bg1">
                          <a:alpha val="26000"/>
                        </a:schemeClr>
                      </a:outerShdw>
                    </a:effectLst>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'COMPARATIVE HEADLINES'!$O$13</c:f>
              <c:numCache>
                <c:formatCode>0.0%</c:formatCode>
                <c:ptCount val="1"/>
                <c:pt idx="0">
                  <c:v>2.6066645551415233</c:v>
                </c:pt>
              </c:numCache>
            </c:numRef>
          </c:val>
          <c:extLst>
            <c:ext xmlns:c16="http://schemas.microsoft.com/office/drawing/2014/chart" uri="{C3380CC4-5D6E-409C-BE32-E72D297353CC}">
              <c16:uniqueId val="{00000001-D478-4DB6-B9D4-3CAE5873D6CD}"/>
            </c:ext>
          </c:extLst>
        </c:ser>
        <c:ser>
          <c:idx val="1"/>
          <c:order val="1"/>
          <c:tx>
            <c:strRef>
              <c:f>'COMPARATIVE HEADLINES'!$E$14</c:f>
              <c:strCache>
                <c:ptCount val="1"/>
                <c:pt idx="0">
                  <c:v>Visitor Numbers</c:v>
                </c:pt>
              </c:strCache>
            </c:strRef>
          </c:tx>
          <c:spPr>
            <a:solidFill>
              <a:srgbClr val="00B050"/>
            </a:solidFill>
            <a:ln>
              <a:solidFill>
                <a:schemeClr val="bg1"/>
              </a:solidFill>
            </a:ln>
            <a:effectLst/>
          </c:spPr>
          <c:invertIfNegative val="0"/>
          <c:dLbls>
            <c:dLbl>
              <c:idx val="0"/>
              <c:numFmt formatCode="0.0%" sourceLinked="0"/>
              <c:spPr>
                <a:solidFill>
                  <a:schemeClr val="bg1">
                    <a:alpha val="25000"/>
                  </a:schemeClr>
                </a:solidFill>
                <a:ln>
                  <a:noFill/>
                </a:ln>
                <a:effectLst/>
              </c:spPr>
              <c:txPr>
                <a:bodyPr rot="-5400000" spcFirstLastPara="1" vertOverflow="ellipsis" horzOverflow="clip" vert="horz" wrap="square" lIns="38160" tIns="38160" rIns="38100" bIns="38160" anchor="ctr" anchorCtr="0">
                  <a:spAutoFit/>
                </a:bodyPr>
                <a:lstStyle/>
                <a:p>
                  <a:pPr algn="ctr">
                    <a:defRPr lang="en-US" sz="1000" b="1" i="0" u="none" strike="noStrike" kern="1200" baseline="0">
                      <a:ln w="0">
                        <a:noFill/>
                      </a:ln>
                      <a:solidFill>
                        <a:sysClr val="windowText" lastClr="000000"/>
                      </a:solidFill>
                      <a:effectLst>
                        <a:outerShdw blurRad="63500" sx="126000" sy="126000" algn="ctr" rotWithShape="0">
                          <a:schemeClr val="bg1">
                            <a:alpha val="26000"/>
                          </a:schemeClr>
                        </a:outerShdw>
                      </a:effectLst>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 xmlns:c16="http://schemas.microsoft.com/office/drawing/2014/chart" uri="{C3380CC4-5D6E-409C-BE32-E72D297353CC}">
                  <c16:uniqueId val="{00000002-D478-4DB6-B9D4-3CAE5873D6CD}"/>
                </c:ext>
              </c:extLst>
            </c:dLbl>
            <c:numFmt formatCode="0.0%" sourceLinked="0"/>
            <c:spPr>
              <a:solidFill>
                <a:schemeClr val="bg1">
                  <a:alpha val="25000"/>
                </a:schemeClr>
              </a:solidFill>
              <a:ln>
                <a:noFill/>
              </a:ln>
              <a:effectLst/>
            </c:spPr>
            <c:txPr>
              <a:bodyPr rot="0" spcFirstLastPara="1" vertOverflow="ellipsis" vert="horz" wrap="square" lIns="38160" tIns="38160" rIns="38100" bIns="38160" anchor="ctr" anchorCtr="0">
                <a:spAutoFit/>
              </a:bodyPr>
              <a:lstStyle/>
              <a:p>
                <a:pPr algn="ctr">
                  <a:defRPr lang="en-GB" sz="1000" b="1" i="0" u="none" strike="noStrike" kern="1200" baseline="0">
                    <a:ln w="0">
                      <a:noFill/>
                    </a:ln>
                    <a:solidFill>
                      <a:sysClr val="windowText" lastClr="000000"/>
                    </a:solidFill>
                    <a:effectLst>
                      <a:outerShdw blurRad="63500" sx="126000" sy="126000" algn="ctr" rotWithShape="0">
                        <a:schemeClr val="bg1">
                          <a:alpha val="26000"/>
                        </a:schemeClr>
                      </a:outerShdw>
                    </a:effectLst>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'COMPARATIVE HEADLINES'!$O$14</c:f>
              <c:numCache>
                <c:formatCode>0.0%</c:formatCode>
                <c:ptCount val="1"/>
                <c:pt idx="0">
                  <c:v>2.6234128754255801</c:v>
                </c:pt>
              </c:numCache>
            </c:numRef>
          </c:val>
          <c:extLst>
            <c:ext xmlns:c16="http://schemas.microsoft.com/office/drawing/2014/chart" uri="{C3380CC4-5D6E-409C-BE32-E72D297353CC}">
              <c16:uniqueId val="{00000003-D478-4DB6-B9D4-3CAE5873D6CD}"/>
            </c:ext>
          </c:extLst>
        </c:ser>
        <c:ser>
          <c:idx val="2"/>
          <c:order val="2"/>
          <c:tx>
            <c:strRef>
              <c:f>'COMPARATIVE HEADLINES'!$E$16</c:f>
              <c:strCache>
                <c:ptCount val="1"/>
                <c:pt idx="0">
                  <c:v>Economic Impact</c:v>
                </c:pt>
              </c:strCache>
            </c:strRef>
          </c:tx>
          <c:spPr>
            <a:solidFill>
              <a:schemeClr val="accent1"/>
            </a:solidFill>
            <a:ln>
              <a:solidFill>
                <a:schemeClr val="bg1"/>
              </a:solidFill>
            </a:ln>
            <a:effectLst/>
          </c:spPr>
          <c:invertIfNegative val="0"/>
          <c:dLbls>
            <c:dLbl>
              <c:idx val="0"/>
              <c:numFmt formatCode="0.0%" sourceLinked="0"/>
              <c:spPr>
                <a:solidFill>
                  <a:schemeClr val="bg1">
                    <a:alpha val="25000"/>
                  </a:schemeClr>
                </a:solidFill>
                <a:ln>
                  <a:noFill/>
                </a:ln>
                <a:effectLst/>
              </c:spPr>
              <c:txPr>
                <a:bodyPr rot="-5400000" spcFirstLastPara="1" vertOverflow="ellipsis" horzOverflow="clip" vert="horz" wrap="square" lIns="38100" tIns="38160" rIns="38100" bIns="38160" anchor="b" anchorCtr="0">
                  <a:spAutoFit/>
                </a:bodyPr>
                <a:lstStyle/>
                <a:p>
                  <a:pPr algn="ctr" rtl="0">
                    <a:defRPr lang="en-GB" sz="1000" b="1" i="0" u="none" strike="noStrike" kern="1200" baseline="0">
                      <a:ln w="0">
                        <a:noFill/>
                      </a:ln>
                      <a:solidFill>
                        <a:sysClr val="windowText" lastClr="000000"/>
                      </a:solidFill>
                      <a:effectLst>
                        <a:outerShdw blurRad="63500" sx="126000" sy="126000" algn="ctr" rotWithShape="0">
                          <a:schemeClr val="bg1">
                            <a:alpha val="26000"/>
                          </a:schemeClr>
                        </a:outerShdw>
                      </a:effectLst>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 xmlns:c16="http://schemas.microsoft.com/office/drawing/2014/chart" uri="{C3380CC4-5D6E-409C-BE32-E72D297353CC}">
                  <c16:uniqueId val="{00000004-D478-4DB6-B9D4-3CAE5873D6CD}"/>
                </c:ext>
              </c:extLst>
            </c:dLbl>
            <c:numFmt formatCode="0.0%" sourceLinked="0"/>
            <c:spPr>
              <a:solidFill>
                <a:schemeClr val="bg1">
                  <a:alpha val="25000"/>
                </a:schemeClr>
              </a:solidFill>
              <a:ln>
                <a:noFill/>
              </a:ln>
              <a:effectLst/>
            </c:spPr>
            <c:txPr>
              <a:bodyPr rot="0" spcFirstLastPara="1" vertOverflow="ellipsis" vert="horz" wrap="square" lIns="38100" tIns="38160" rIns="38100" bIns="38160" anchor="ctr" anchorCtr="0">
                <a:spAutoFit/>
              </a:bodyPr>
              <a:lstStyle/>
              <a:p>
                <a:pPr algn="ctr" rtl="0">
                  <a:defRPr lang="en-GB" sz="1000" b="1" i="0" u="none" strike="noStrike" kern="1200" baseline="0">
                    <a:ln w="0">
                      <a:noFill/>
                    </a:ln>
                    <a:solidFill>
                      <a:sysClr val="windowText" lastClr="000000"/>
                    </a:solidFill>
                    <a:effectLst>
                      <a:outerShdw blurRad="63500" sx="126000" sy="126000" algn="ctr" rotWithShape="0">
                        <a:schemeClr val="bg1">
                          <a:alpha val="26000"/>
                        </a:schemeClr>
                      </a:outerShdw>
                    </a:effectLst>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'COMPARATIVE HEADLINES'!$O$16</c:f>
              <c:numCache>
                <c:formatCode>0.0%</c:formatCode>
                <c:ptCount val="1"/>
                <c:pt idx="0">
                  <c:v>2.6065010027126476</c:v>
                </c:pt>
              </c:numCache>
            </c:numRef>
          </c:val>
          <c:extLst>
            <c:ext xmlns:c16="http://schemas.microsoft.com/office/drawing/2014/chart" uri="{C3380CC4-5D6E-409C-BE32-E72D297353CC}">
              <c16:uniqueId val="{00000005-D478-4DB6-B9D4-3CAE5873D6CD}"/>
            </c:ext>
          </c:extLst>
        </c:ser>
        <c:ser>
          <c:idx val="3"/>
          <c:order val="3"/>
          <c:tx>
            <c:strRef>
              <c:f>'COMPARATIVE HEADLINES'!$E$17</c:f>
              <c:strCache>
                <c:ptCount val="1"/>
                <c:pt idx="0">
                  <c:v>Direct Employment</c:v>
                </c:pt>
              </c:strCache>
            </c:strRef>
          </c:tx>
          <c:spPr>
            <a:solidFill>
              <a:schemeClr val="accent6">
                <a:lumMod val="60000"/>
                <a:lumOff val="40000"/>
              </a:schemeClr>
            </a:solidFill>
            <a:ln>
              <a:solidFill>
                <a:schemeClr val="bg1"/>
              </a:solidFill>
            </a:ln>
            <a:effectLst/>
          </c:spPr>
          <c:invertIfNegative val="0"/>
          <c:dLbls>
            <c:numFmt formatCode="0.0%" sourceLinked="0"/>
            <c:spPr>
              <a:solidFill>
                <a:schemeClr val="bg1">
                  <a:alpha val="25000"/>
                </a:schemeClr>
              </a:solidFill>
              <a:ln>
                <a:noFill/>
              </a:ln>
              <a:effectLst/>
            </c:spPr>
            <c:txPr>
              <a:bodyPr rot="-5400000" spcFirstLastPara="1" vertOverflow="ellipsis" horzOverflow="clip" vert="horz" wrap="square" lIns="38100" tIns="38160" rIns="38100" bIns="38160" anchor="ctr" anchorCtr="0">
                <a:spAutoFit/>
              </a:bodyPr>
              <a:lstStyle/>
              <a:p>
                <a:pPr algn="ctr" rtl="0">
                  <a:defRPr lang="en-GB" sz="1000" b="1" i="0" u="none" strike="noStrike" kern="1200" baseline="0">
                    <a:ln w="0">
                      <a:noFill/>
                    </a:ln>
                    <a:solidFill>
                      <a:sysClr val="windowText" lastClr="000000"/>
                    </a:solidFill>
                    <a:effectLst>
                      <a:outerShdw blurRad="63500" sx="126000" sy="126000" algn="ctr" rotWithShape="0">
                        <a:schemeClr val="bg1">
                          <a:alpha val="26000"/>
                        </a:schemeClr>
                      </a:outerShdw>
                    </a:effectLst>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cap="flat" cmpd="sng" algn="ctr">
                      <a:solidFill>
                        <a:schemeClr val="tx1">
                          <a:lumMod val="35000"/>
                          <a:lumOff val="65000"/>
                        </a:schemeClr>
                      </a:solidFill>
                      <a:round/>
                    </a:ln>
                    <a:effectLst/>
                  </c:spPr>
                </c15:leaderLines>
              </c:ext>
            </c:extLst>
          </c:dLbls>
          <c:val>
            <c:numRef>
              <c:f>'COMPARATIVE HEADLINES'!$O$17</c:f>
              <c:numCache>
                <c:formatCode>0.0%</c:formatCode>
                <c:ptCount val="1"/>
                <c:pt idx="0">
                  <c:v>2.4180825240747463</c:v>
                </c:pt>
              </c:numCache>
            </c:numRef>
          </c:val>
          <c:extLst>
            <c:ext xmlns:c16="http://schemas.microsoft.com/office/drawing/2014/chart" uri="{C3380CC4-5D6E-409C-BE32-E72D297353CC}">
              <c16:uniqueId val="{00000006-D478-4DB6-B9D4-3CAE5873D6CD}"/>
            </c:ext>
          </c:extLst>
        </c:ser>
        <c:dLbls>
          <c:dLblPos val="outEnd"/>
          <c:showLegendKey val="0"/>
          <c:showVal val="1"/>
          <c:showCatName val="0"/>
          <c:showSerName val="0"/>
          <c:showPercent val="0"/>
          <c:showBubbleSize val="0"/>
        </c:dLbls>
        <c:gapWidth val="0"/>
        <c:overlap val="10"/>
        <c:axId val="683553696"/>
        <c:axId val="683554088"/>
      </c:barChart>
      <c:catAx>
        <c:axId val="683553696"/>
        <c:scaling>
          <c:orientation val="minMax"/>
        </c:scaling>
        <c:delete val="1"/>
        <c:axPos val="b"/>
        <c:majorTickMark val="none"/>
        <c:minorTickMark val="none"/>
        <c:tickLblPos val="nextTo"/>
        <c:crossAx val="683554088"/>
        <c:crosses val="autoZero"/>
        <c:auto val="1"/>
        <c:lblAlgn val="ctr"/>
        <c:lblOffset val="100"/>
        <c:noMultiLvlLbl val="0"/>
      </c:catAx>
      <c:valAx>
        <c:axId val="683554088"/>
        <c:scaling>
          <c:orientation val="minMax"/>
        </c:scaling>
        <c:delete val="0"/>
        <c:axPos val="l"/>
        <c:majorGridlines>
          <c:spPr>
            <a:ln w="9525" cap="flat" cmpd="sng" algn="ctr">
              <a:no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lgn="ctr">
              <a:defRPr lang="en-GB" sz="800" b="1" i="0" u="none" strike="noStrike" kern="1200" baseline="0">
                <a:ln w="0">
                  <a:noFill/>
                </a:ln>
                <a:solidFill>
                  <a:sysClr val="windowText" lastClr="000000"/>
                </a:solidFill>
                <a:effectLst>
                  <a:outerShdw blurRad="63500" sx="126000" sy="126000" algn="ctr" rotWithShape="0">
                    <a:schemeClr val="bg1">
                      <a:alpha val="26000"/>
                    </a:schemeClr>
                  </a:outerShdw>
                </a:effectLst>
                <a:latin typeface="+mn-lt"/>
                <a:ea typeface="+mn-ea"/>
                <a:cs typeface="+mn-cs"/>
              </a:defRPr>
            </a:pPr>
            <a:endParaRPr lang="en-US"/>
          </a:p>
        </c:txPr>
        <c:crossAx val="683553696"/>
        <c:crosses val="autoZero"/>
        <c:crossBetween val="between"/>
      </c:valAx>
      <c:spPr>
        <a:noFill/>
        <a:ln>
          <a:noFill/>
        </a:ln>
        <a:effectLst/>
      </c:spPr>
    </c:plotArea>
    <c:plotVisOnly val="1"/>
    <c:dispBlanksAs val="gap"/>
    <c:showDLblsOverMax val="0"/>
  </c:chart>
  <c:spPr>
    <a:solidFill>
      <a:sysClr val="window" lastClr="FFFFFF">
        <a:alpha val="5000"/>
      </a:sys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27029791174591639"/>
          <c:y val="5.3890945750986421E-2"/>
          <c:w val="0.72970208825408356"/>
          <c:h val="0.89221810849802718"/>
        </c:manualLayout>
      </c:layout>
      <c:barChart>
        <c:barDir val="col"/>
        <c:grouping val="clustered"/>
        <c:varyColors val="0"/>
        <c:ser>
          <c:idx val="0"/>
          <c:order val="0"/>
          <c:tx>
            <c:strRef>
              <c:f>'COMPARATIVE HEADLINES'!$E$13</c:f>
              <c:strCache>
                <c:ptCount val="1"/>
                <c:pt idx="0">
                  <c:v>Visitor Days</c:v>
                </c:pt>
              </c:strCache>
            </c:strRef>
          </c:tx>
          <c:spPr>
            <a:solidFill>
              <a:srgbClr val="FF0000"/>
            </a:solidFill>
            <a:ln>
              <a:solidFill>
                <a:schemeClr val="bg1"/>
              </a:solidFill>
            </a:ln>
            <a:effectLst/>
          </c:spPr>
          <c:invertIfNegative val="0"/>
          <c:dLbls>
            <c:dLbl>
              <c:idx val="0"/>
              <c:numFmt formatCode="0.0%" sourceLinked="0"/>
              <c:spPr>
                <a:solidFill>
                  <a:schemeClr val="bg1">
                    <a:alpha val="25000"/>
                  </a:schemeClr>
                </a:solidFill>
                <a:ln>
                  <a:noFill/>
                </a:ln>
                <a:effectLst/>
              </c:spPr>
              <c:txPr>
                <a:bodyPr rot="-5400000" spcFirstLastPara="1" vertOverflow="ellipsis" horzOverflow="clip" vert="horz" wrap="square" lIns="38100" tIns="38160" rIns="38100" bIns="38160" anchor="b" anchorCtr="0">
                  <a:spAutoFit/>
                </a:bodyPr>
                <a:lstStyle/>
                <a:p>
                  <a:pPr algn="ctr" rtl="0">
                    <a:defRPr lang="en-GB" sz="1000" b="1" i="0" u="none" strike="noStrike" kern="1200" baseline="0">
                      <a:ln w="0">
                        <a:noFill/>
                      </a:ln>
                      <a:solidFill>
                        <a:sysClr val="windowText" lastClr="000000"/>
                      </a:solidFill>
                      <a:effectLst>
                        <a:outerShdw blurRad="63500" sx="126000" sy="126000" algn="ctr" rotWithShape="0">
                          <a:schemeClr val="bg1">
                            <a:alpha val="26000"/>
                          </a:schemeClr>
                        </a:outerShdw>
                      </a:effectLst>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 xmlns:c16="http://schemas.microsoft.com/office/drawing/2014/chart" uri="{C3380CC4-5D6E-409C-BE32-E72D297353CC}">
                  <c16:uniqueId val="{00000000-924D-4921-912C-2A39E5F34D5B}"/>
                </c:ext>
              </c:extLst>
            </c:dLbl>
            <c:numFmt formatCode="0.0%" sourceLinked="0"/>
            <c:spPr>
              <a:solidFill>
                <a:schemeClr val="bg1">
                  <a:alpha val="25000"/>
                </a:schemeClr>
              </a:solidFill>
              <a:ln>
                <a:noFill/>
              </a:ln>
              <a:effectLst/>
            </c:spPr>
            <c:txPr>
              <a:bodyPr rot="-5400000" spcFirstLastPara="1" vertOverflow="ellipsis" wrap="square" lIns="38100" tIns="19050" rIns="38100" bIns="19050" anchor="b" anchorCtr="0">
                <a:spAutoFit/>
              </a:bodyPr>
              <a:lstStyle/>
              <a:p>
                <a:pPr algn="ctr" rtl="0">
                  <a:defRPr lang="en-GB" sz="1000" b="1" i="0" u="none" strike="noStrike" kern="1200" baseline="0">
                    <a:ln w="0">
                      <a:noFill/>
                    </a:ln>
                    <a:solidFill>
                      <a:sysClr val="windowText" lastClr="000000"/>
                    </a:solidFill>
                    <a:effectLst>
                      <a:outerShdw blurRad="63500" sx="126000" sy="126000" algn="ctr" rotWithShape="0">
                        <a:schemeClr val="bg1">
                          <a:alpha val="26000"/>
                        </a:schemeClr>
                      </a:outerShdw>
                    </a:effectLst>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'COMPARATIVE HEADLINES'!$R$13</c:f>
              <c:numCache>
                <c:formatCode>0.0%</c:formatCode>
                <c:ptCount val="1"/>
                <c:pt idx="0">
                  <c:v>0.31519414692730963</c:v>
                </c:pt>
              </c:numCache>
            </c:numRef>
          </c:val>
          <c:extLst>
            <c:ext xmlns:c16="http://schemas.microsoft.com/office/drawing/2014/chart" uri="{C3380CC4-5D6E-409C-BE32-E72D297353CC}">
              <c16:uniqueId val="{00000001-924D-4921-912C-2A39E5F34D5B}"/>
            </c:ext>
          </c:extLst>
        </c:ser>
        <c:ser>
          <c:idx val="1"/>
          <c:order val="1"/>
          <c:tx>
            <c:strRef>
              <c:f>'COMPARATIVE HEADLINES'!$E$14</c:f>
              <c:strCache>
                <c:ptCount val="1"/>
                <c:pt idx="0">
                  <c:v>Visitor Numbers</c:v>
                </c:pt>
              </c:strCache>
            </c:strRef>
          </c:tx>
          <c:spPr>
            <a:solidFill>
              <a:srgbClr val="00B050"/>
            </a:solidFill>
            <a:ln>
              <a:solidFill>
                <a:schemeClr val="bg1"/>
              </a:solidFill>
            </a:ln>
            <a:effectLst/>
          </c:spPr>
          <c:invertIfNegative val="0"/>
          <c:dLbls>
            <c:dLbl>
              <c:idx val="0"/>
              <c:numFmt formatCode="0.0%" sourceLinked="0"/>
              <c:spPr>
                <a:solidFill>
                  <a:schemeClr val="bg1">
                    <a:alpha val="25000"/>
                  </a:schemeClr>
                </a:solidFill>
                <a:ln>
                  <a:noFill/>
                </a:ln>
                <a:effectLst/>
              </c:spPr>
              <c:txPr>
                <a:bodyPr rot="-5400000" spcFirstLastPara="1" vertOverflow="ellipsis" horzOverflow="clip" vert="horz" wrap="square" lIns="38160" tIns="38160" rIns="38100" bIns="38160" anchor="ctr" anchorCtr="0">
                  <a:spAutoFit/>
                </a:bodyPr>
                <a:lstStyle/>
                <a:p>
                  <a:pPr algn="ctr">
                    <a:defRPr lang="en-US" sz="1000" b="1" i="0" u="none" strike="noStrike" kern="1200" baseline="0">
                      <a:ln w="0">
                        <a:noFill/>
                      </a:ln>
                      <a:solidFill>
                        <a:sysClr val="windowText" lastClr="000000"/>
                      </a:solidFill>
                      <a:effectLst>
                        <a:outerShdw blurRad="63500" sx="126000" sy="126000" algn="ctr" rotWithShape="0">
                          <a:schemeClr val="bg1">
                            <a:alpha val="26000"/>
                          </a:schemeClr>
                        </a:outerShdw>
                      </a:effectLst>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 xmlns:c16="http://schemas.microsoft.com/office/drawing/2014/chart" uri="{C3380CC4-5D6E-409C-BE32-E72D297353CC}">
                  <c16:uniqueId val="{00000002-924D-4921-912C-2A39E5F34D5B}"/>
                </c:ext>
              </c:extLst>
            </c:dLbl>
            <c:numFmt formatCode="0.0%" sourceLinked="0"/>
            <c:spPr>
              <a:solidFill>
                <a:schemeClr val="bg1">
                  <a:alpha val="25000"/>
                </a:schemeClr>
              </a:solidFill>
              <a:ln>
                <a:noFill/>
              </a:ln>
              <a:effectLst/>
            </c:spPr>
            <c:txPr>
              <a:bodyPr rot="0" spcFirstLastPara="1" vertOverflow="ellipsis" vert="horz" wrap="square" lIns="38160" tIns="38160" rIns="38100" bIns="38160" anchor="ctr" anchorCtr="0">
                <a:spAutoFit/>
              </a:bodyPr>
              <a:lstStyle/>
              <a:p>
                <a:pPr algn="ctr">
                  <a:defRPr lang="en-GB" sz="1000" b="1" i="0" u="none" strike="noStrike" kern="1200" baseline="0">
                    <a:ln w="0">
                      <a:noFill/>
                    </a:ln>
                    <a:solidFill>
                      <a:sysClr val="windowText" lastClr="000000"/>
                    </a:solidFill>
                    <a:effectLst>
                      <a:outerShdw blurRad="63500" sx="126000" sy="126000" algn="ctr" rotWithShape="0">
                        <a:schemeClr val="bg1">
                          <a:alpha val="26000"/>
                        </a:schemeClr>
                      </a:outerShdw>
                    </a:effectLst>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'COMPARATIVE HEADLINES'!$R$14</c:f>
              <c:numCache>
                <c:formatCode>0.0%</c:formatCode>
                <c:ptCount val="1"/>
                <c:pt idx="0">
                  <c:v>0.42513350642862369</c:v>
                </c:pt>
              </c:numCache>
            </c:numRef>
          </c:val>
          <c:extLst>
            <c:ext xmlns:c16="http://schemas.microsoft.com/office/drawing/2014/chart" uri="{C3380CC4-5D6E-409C-BE32-E72D297353CC}">
              <c16:uniqueId val="{00000003-924D-4921-912C-2A39E5F34D5B}"/>
            </c:ext>
          </c:extLst>
        </c:ser>
        <c:ser>
          <c:idx val="2"/>
          <c:order val="2"/>
          <c:tx>
            <c:strRef>
              <c:f>'COMPARATIVE HEADLINES'!$E$16</c:f>
              <c:strCache>
                <c:ptCount val="1"/>
                <c:pt idx="0">
                  <c:v>Economic Impact</c:v>
                </c:pt>
              </c:strCache>
            </c:strRef>
          </c:tx>
          <c:spPr>
            <a:solidFill>
              <a:schemeClr val="accent1"/>
            </a:solidFill>
            <a:ln>
              <a:solidFill>
                <a:schemeClr val="bg1"/>
              </a:solidFill>
            </a:ln>
            <a:effectLst/>
          </c:spPr>
          <c:invertIfNegative val="0"/>
          <c:dLbls>
            <c:dLbl>
              <c:idx val="0"/>
              <c:numFmt formatCode="0.0%" sourceLinked="0"/>
              <c:spPr>
                <a:solidFill>
                  <a:schemeClr val="bg1">
                    <a:alpha val="25000"/>
                  </a:schemeClr>
                </a:solidFill>
                <a:ln>
                  <a:noFill/>
                </a:ln>
                <a:effectLst/>
              </c:spPr>
              <c:txPr>
                <a:bodyPr rot="-5400000" spcFirstLastPara="1" vertOverflow="ellipsis" horzOverflow="clip" vert="horz" wrap="square" lIns="38100" tIns="38160" rIns="38100" bIns="38160" anchor="b" anchorCtr="0">
                  <a:spAutoFit/>
                </a:bodyPr>
                <a:lstStyle/>
                <a:p>
                  <a:pPr algn="ctr" rtl="0">
                    <a:defRPr lang="en-GB" sz="1000" b="1" i="0" u="none" strike="noStrike" kern="1200" baseline="0">
                      <a:ln w="0">
                        <a:noFill/>
                      </a:ln>
                      <a:solidFill>
                        <a:sysClr val="windowText" lastClr="000000"/>
                      </a:solidFill>
                      <a:effectLst>
                        <a:outerShdw blurRad="63500" sx="126000" sy="126000" algn="ctr" rotWithShape="0">
                          <a:schemeClr val="bg1">
                            <a:alpha val="26000"/>
                          </a:schemeClr>
                        </a:outerShdw>
                      </a:effectLst>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 xmlns:c16="http://schemas.microsoft.com/office/drawing/2014/chart" uri="{C3380CC4-5D6E-409C-BE32-E72D297353CC}">
                  <c16:uniqueId val="{00000004-924D-4921-912C-2A39E5F34D5B}"/>
                </c:ext>
              </c:extLst>
            </c:dLbl>
            <c:numFmt formatCode="0.0%" sourceLinked="0"/>
            <c:spPr>
              <a:solidFill>
                <a:schemeClr val="bg1">
                  <a:alpha val="25000"/>
                </a:schemeClr>
              </a:solidFill>
              <a:ln>
                <a:noFill/>
              </a:ln>
              <a:effectLst/>
            </c:spPr>
            <c:txPr>
              <a:bodyPr rot="0" spcFirstLastPara="1" vertOverflow="ellipsis" vert="horz" wrap="square" lIns="38100" tIns="38160" rIns="38100" bIns="38160" anchor="ctr" anchorCtr="0">
                <a:spAutoFit/>
              </a:bodyPr>
              <a:lstStyle/>
              <a:p>
                <a:pPr algn="ctr" rtl="0">
                  <a:defRPr lang="en-GB" sz="1000" b="1" i="0" u="none" strike="noStrike" kern="1200" baseline="0">
                    <a:ln w="0">
                      <a:noFill/>
                    </a:ln>
                    <a:solidFill>
                      <a:sysClr val="windowText" lastClr="000000"/>
                    </a:solidFill>
                    <a:effectLst>
                      <a:outerShdw blurRad="63500" sx="126000" sy="126000" algn="ctr" rotWithShape="0">
                        <a:schemeClr val="bg1">
                          <a:alpha val="26000"/>
                        </a:schemeClr>
                      </a:outerShdw>
                    </a:effectLst>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'COMPARATIVE HEADLINES'!$R$16</c:f>
              <c:numCache>
                <c:formatCode>0.0%</c:formatCode>
                <c:ptCount val="1"/>
                <c:pt idx="0">
                  <c:v>0.19851043390646783</c:v>
                </c:pt>
              </c:numCache>
            </c:numRef>
          </c:val>
          <c:extLst>
            <c:ext xmlns:c16="http://schemas.microsoft.com/office/drawing/2014/chart" uri="{C3380CC4-5D6E-409C-BE32-E72D297353CC}">
              <c16:uniqueId val="{00000005-924D-4921-912C-2A39E5F34D5B}"/>
            </c:ext>
          </c:extLst>
        </c:ser>
        <c:ser>
          <c:idx val="3"/>
          <c:order val="3"/>
          <c:tx>
            <c:strRef>
              <c:f>'COMPARATIVE HEADLINES'!$E$17</c:f>
              <c:strCache>
                <c:ptCount val="1"/>
                <c:pt idx="0">
                  <c:v>Direct Employment</c:v>
                </c:pt>
              </c:strCache>
            </c:strRef>
          </c:tx>
          <c:spPr>
            <a:solidFill>
              <a:schemeClr val="accent6">
                <a:lumMod val="60000"/>
                <a:lumOff val="40000"/>
              </a:schemeClr>
            </a:solidFill>
            <a:ln>
              <a:solidFill>
                <a:schemeClr val="bg1"/>
              </a:solidFill>
            </a:ln>
            <a:effectLst/>
          </c:spPr>
          <c:invertIfNegative val="0"/>
          <c:dLbls>
            <c:numFmt formatCode="0.0%" sourceLinked="0"/>
            <c:spPr>
              <a:solidFill>
                <a:schemeClr val="bg1">
                  <a:alpha val="25000"/>
                </a:schemeClr>
              </a:solidFill>
              <a:ln>
                <a:noFill/>
              </a:ln>
              <a:effectLst/>
            </c:spPr>
            <c:txPr>
              <a:bodyPr rot="-5400000" spcFirstLastPara="1" vertOverflow="ellipsis" horzOverflow="clip" vert="horz" wrap="square" lIns="38100" tIns="38160" rIns="38100" bIns="38160" anchor="ctr" anchorCtr="0">
                <a:spAutoFit/>
              </a:bodyPr>
              <a:lstStyle/>
              <a:p>
                <a:pPr algn="ctr" rtl="0">
                  <a:defRPr lang="en-GB" sz="1000" b="1" i="0" u="none" strike="noStrike" kern="1200" baseline="0">
                    <a:ln w="0">
                      <a:noFill/>
                    </a:ln>
                    <a:solidFill>
                      <a:sysClr val="windowText" lastClr="000000"/>
                    </a:solidFill>
                    <a:effectLst>
                      <a:outerShdw blurRad="63500" sx="126000" sy="126000" algn="ctr" rotWithShape="0">
                        <a:schemeClr val="bg1">
                          <a:alpha val="26000"/>
                        </a:schemeClr>
                      </a:outerShdw>
                    </a:effectLst>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cap="flat" cmpd="sng" algn="ctr">
                      <a:solidFill>
                        <a:schemeClr val="tx1">
                          <a:lumMod val="35000"/>
                          <a:lumOff val="65000"/>
                        </a:schemeClr>
                      </a:solidFill>
                      <a:round/>
                    </a:ln>
                    <a:effectLst/>
                  </c:spPr>
                </c15:leaderLines>
              </c:ext>
            </c:extLst>
          </c:dLbls>
          <c:val>
            <c:numRef>
              <c:f>'COMPARATIVE HEADLINES'!$R$17</c:f>
              <c:numCache>
                <c:formatCode>0.0%</c:formatCode>
                <c:ptCount val="1"/>
                <c:pt idx="0">
                  <c:v>0.2030219337048127</c:v>
                </c:pt>
              </c:numCache>
            </c:numRef>
          </c:val>
          <c:extLst>
            <c:ext xmlns:c16="http://schemas.microsoft.com/office/drawing/2014/chart" uri="{C3380CC4-5D6E-409C-BE32-E72D297353CC}">
              <c16:uniqueId val="{00000006-924D-4921-912C-2A39E5F34D5B}"/>
            </c:ext>
          </c:extLst>
        </c:ser>
        <c:dLbls>
          <c:dLblPos val="outEnd"/>
          <c:showLegendKey val="0"/>
          <c:showVal val="1"/>
          <c:showCatName val="0"/>
          <c:showSerName val="0"/>
          <c:showPercent val="0"/>
          <c:showBubbleSize val="0"/>
        </c:dLbls>
        <c:gapWidth val="0"/>
        <c:overlap val="10"/>
        <c:axId val="683558792"/>
        <c:axId val="683555264"/>
      </c:barChart>
      <c:catAx>
        <c:axId val="683558792"/>
        <c:scaling>
          <c:orientation val="minMax"/>
        </c:scaling>
        <c:delete val="1"/>
        <c:axPos val="b"/>
        <c:majorTickMark val="none"/>
        <c:minorTickMark val="none"/>
        <c:tickLblPos val="nextTo"/>
        <c:crossAx val="683555264"/>
        <c:crosses val="autoZero"/>
        <c:auto val="1"/>
        <c:lblAlgn val="ctr"/>
        <c:lblOffset val="100"/>
        <c:noMultiLvlLbl val="0"/>
      </c:catAx>
      <c:valAx>
        <c:axId val="683555264"/>
        <c:scaling>
          <c:orientation val="minMax"/>
        </c:scaling>
        <c:delete val="0"/>
        <c:axPos val="l"/>
        <c:majorGridlines>
          <c:spPr>
            <a:ln w="9525" cap="flat" cmpd="sng" algn="ctr">
              <a:no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lgn="ctr">
              <a:defRPr lang="en-GB" sz="800" b="1" i="0" u="none" strike="noStrike" kern="1200" baseline="0">
                <a:ln w="0">
                  <a:noFill/>
                </a:ln>
                <a:solidFill>
                  <a:sysClr val="windowText" lastClr="000000"/>
                </a:solidFill>
                <a:effectLst>
                  <a:outerShdw blurRad="63500" sx="126000" sy="126000" algn="ctr" rotWithShape="0">
                    <a:schemeClr val="bg1">
                      <a:alpha val="26000"/>
                    </a:schemeClr>
                  </a:outerShdw>
                </a:effectLst>
                <a:latin typeface="+mn-lt"/>
                <a:ea typeface="+mn-ea"/>
                <a:cs typeface="+mn-cs"/>
              </a:defRPr>
            </a:pPr>
            <a:endParaRPr lang="en-US"/>
          </a:p>
        </c:txPr>
        <c:crossAx val="683558792"/>
        <c:crosses val="autoZero"/>
        <c:crossBetween val="between"/>
      </c:valAx>
      <c:spPr>
        <a:noFill/>
        <a:ln>
          <a:noFill/>
        </a:ln>
        <a:effectLst/>
      </c:spPr>
    </c:plotArea>
    <c:plotVisOnly val="1"/>
    <c:dispBlanksAs val="gap"/>
    <c:showDLblsOverMax val="0"/>
  </c:chart>
  <c:spPr>
    <a:solidFill>
      <a:sysClr val="window" lastClr="FFFFFF">
        <a:alpha val="5000"/>
      </a:sys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27029791174591639"/>
          <c:y val="5.3890945750986421E-2"/>
          <c:w val="0.72970208825408356"/>
          <c:h val="0.89221810849802718"/>
        </c:manualLayout>
      </c:layout>
      <c:barChart>
        <c:barDir val="col"/>
        <c:grouping val="clustered"/>
        <c:varyColors val="0"/>
        <c:ser>
          <c:idx val="0"/>
          <c:order val="0"/>
          <c:tx>
            <c:strRef>
              <c:f>'COMPARATIVE HEADLINES'!$E$13</c:f>
              <c:strCache>
                <c:ptCount val="1"/>
                <c:pt idx="0">
                  <c:v>Visitor Days</c:v>
                </c:pt>
              </c:strCache>
            </c:strRef>
          </c:tx>
          <c:spPr>
            <a:solidFill>
              <a:srgbClr val="FF0000"/>
            </a:solidFill>
            <a:ln>
              <a:solidFill>
                <a:schemeClr val="bg1"/>
              </a:solidFill>
            </a:ln>
            <a:effectLst/>
          </c:spPr>
          <c:invertIfNegative val="0"/>
          <c:dLbls>
            <c:dLbl>
              <c:idx val="0"/>
              <c:numFmt formatCode="0.0%" sourceLinked="0"/>
              <c:spPr>
                <a:solidFill>
                  <a:schemeClr val="bg1">
                    <a:alpha val="25000"/>
                  </a:schemeClr>
                </a:solidFill>
                <a:ln>
                  <a:noFill/>
                </a:ln>
                <a:effectLst/>
              </c:spPr>
              <c:txPr>
                <a:bodyPr rot="-5400000" spcFirstLastPara="1" vertOverflow="ellipsis" horzOverflow="clip" vert="horz" wrap="square" lIns="38100" tIns="38160" rIns="38100" bIns="38160" anchor="b" anchorCtr="0">
                  <a:spAutoFit/>
                </a:bodyPr>
                <a:lstStyle/>
                <a:p>
                  <a:pPr algn="ctr" rtl="0">
                    <a:defRPr lang="en-GB" sz="1000" b="1" i="0" u="none" strike="noStrike" kern="1200" baseline="0">
                      <a:ln w="0">
                        <a:noFill/>
                      </a:ln>
                      <a:solidFill>
                        <a:sysClr val="windowText" lastClr="000000"/>
                      </a:solidFill>
                      <a:effectLst>
                        <a:outerShdw blurRad="63500" sx="126000" sy="126000" algn="ctr" rotWithShape="0">
                          <a:schemeClr val="bg1">
                            <a:alpha val="26000"/>
                          </a:schemeClr>
                        </a:outerShdw>
                      </a:effectLst>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 xmlns:c16="http://schemas.microsoft.com/office/drawing/2014/chart" uri="{C3380CC4-5D6E-409C-BE32-E72D297353CC}">
                  <c16:uniqueId val="{00000000-9AF5-4C13-A384-2EBEE9B0B37B}"/>
                </c:ext>
              </c:extLst>
            </c:dLbl>
            <c:numFmt formatCode="0.0%" sourceLinked="0"/>
            <c:spPr>
              <a:solidFill>
                <a:schemeClr val="bg1">
                  <a:alpha val="25000"/>
                </a:schemeClr>
              </a:solidFill>
              <a:ln>
                <a:noFill/>
              </a:ln>
              <a:effectLst/>
            </c:spPr>
            <c:txPr>
              <a:bodyPr rot="-5400000" spcFirstLastPara="1" vertOverflow="ellipsis" wrap="square" lIns="38100" tIns="19050" rIns="38100" bIns="19050" anchor="b" anchorCtr="0">
                <a:spAutoFit/>
              </a:bodyPr>
              <a:lstStyle/>
              <a:p>
                <a:pPr algn="ctr" rtl="0">
                  <a:defRPr lang="en-GB" sz="1000" b="1" i="0" u="none" strike="noStrike" kern="1200" baseline="0">
                    <a:ln w="0">
                      <a:noFill/>
                    </a:ln>
                    <a:solidFill>
                      <a:sysClr val="windowText" lastClr="000000"/>
                    </a:solidFill>
                    <a:effectLst>
                      <a:outerShdw blurRad="63500" sx="126000" sy="126000" algn="ctr" rotWithShape="0">
                        <a:schemeClr val="bg1">
                          <a:alpha val="26000"/>
                        </a:schemeClr>
                      </a:outerShdw>
                    </a:effectLst>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'COMPARATIVE HEADLINES'!$U$13</c:f>
              <c:numCache>
                <c:formatCode>0.0%</c:formatCode>
                <c:ptCount val="1"/>
                <c:pt idx="0">
                  <c:v>0.23612852736328649</c:v>
                </c:pt>
              </c:numCache>
            </c:numRef>
          </c:val>
          <c:extLst>
            <c:ext xmlns:c16="http://schemas.microsoft.com/office/drawing/2014/chart" uri="{C3380CC4-5D6E-409C-BE32-E72D297353CC}">
              <c16:uniqueId val="{00000001-9AF5-4C13-A384-2EBEE9B0B37B}"/>
            </c:ext>
          </c:extLst>
        </c:ser>
        <c:ser>
          <c:idx val="1"/>
          <c:order val="1"/>
          <c:tx>
            <c:strRef>
              <c:f>'COMPARATIVE HEADLINES'!$E$14</c:f>
              <c:strCache>
                <c:ptCount val="1"/>
                <c:pt idx="0">
                  <c:v>Visitor Numbers</c:v>
                </c:pt>
              </c:strCache>
            </c:strRef>
          </c:tx>
          <c:spPr>
            <a:solidFill>
              <a:srgbClr val="00B050"/>
            </a:solidFill>
            <a:ln>
              <a:solidFill>
                <a:schemeClr val="bg1"/>
              </a:solidFill>
            </a:ln>
            <a:effectLst/>
          </c:spPr>
          <c:invertIfNegative val="0"/>
          <c:dLbls>
            <c:dLbl>
              <c:idx val="0"/>
              <c:numFmt formatCode="0.0%" sourceLinked="0"/>
              <c:spPr>
                <a:solidFill>
                  <a:schemeClr val="bg1">
                    <a:alpha val="25000"/>
                  </a:schemeClr>
                </a:solidFill>
                <a:ln>
                  <a:noFill/>
                </a:ln>
                <a:effectLst/>
              </c:spPr>
              <c:txPr>
                <a:bodyPr rot="-5400000" spcFirstLastPara="1" vertOverflow="ellipsis" horzOverflow="clip" vert="horz" wrap="square" lIns="38160" tIns="38160" rIns="38100" bIns="38160" anchor="ctr" anchorCtr="0">
                  <a:spAutoFit/>
                </a:bodyPr>
                <a:lstStyle/>
                <a:p>
                  <a:pPr algn="ctr">
                    <a:defRPr lang="en-US" sz="1000" b="1" i="0" u="none" strike="noStrike" kern="1200" baseline="0">
                      <a:ln w="0">
                        <a:noFill/>
                      </a:ln>
                      <a:solidFill>
                        <a:sysClr val="windowText" lastClr="000000"/>
                      </a:solidFill>
                      <a:effectLst>
                        <a:outerShdw blurRad="63500" sx="126000" sy="126000" algn="ctr" rotWithShape="0">
                          <a:schemeClr val="bg1">
                            <a:alpha val="26000"/>
                          </a:schemeClr>
                        </a:outerShdw>
                      </a:effectLst>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 xmlns:c16="http://schemas.microsoft.com/office/drawing/2014/chart" uri="{C3380CC4-5D6E-409C-BE32-E72D297353CC}">
                  <c16:uniqueId val="{00000002-9AF5-4C13-A384-2EBEE9B0B37B}"/>
                </c:ext>
              </c:extLst>
            </c:dLbl>
            <c:numFmt formatCode="0.0%" sourceLinked="0"/>
            <c:spPr>
              <a:solidFill>
                <a:schemeClr val="bg1">
                  <a:alpha val="25000"/>
                </a:schemeClr>
              </a:solidFill>
              <a:ln>
                <a:noFill/>
              </a:ln>
              <a:effectLst/>
            </c:spPr>
            <c:txPr>
              <a:bodyPr rot="0" spcFirstLastPara="1" vertOverflow="ellipsis" vert="horz" wrap="square" lIns="38160" tIns="38160" rIns="38100" bIns="38160" anchor="ctr" anchorCtr="0">
                <a:spAutoFit/>
              </a:bodyPr>
              <a:lstStyle/>
              <a:p>
                <a:pPr algn="ctr">
                  <a:defRPr lang="en-GB" sz="1000" b="1" i="0" u="none" strike="noStrike" kern="1200" baseline="0">
                    <a:ln w="0">
                      <a:noFill/>
                    </a:ln>
                    <a:solidFill>
                      <a:sysClr val="windowText" lastClr="000000"/>
                    </a:solidFill>
                    <a:effectLst>
                      <a:outerShdw blurRad="63500" sx="126000" sy="126000" algn="ctr" rotWithShape="0">
                        <a:schemeClr val="bg1">
                          <a:alpha val="26000"/>
                        </a:schemeClr>
                      </a:outerShdw>
                    </a:effectLst>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'COMPARATIVE HEADLINES'!$U$14</c:f>
              <c:numCache>
                <c:formatCode>0.0%</c:formatCode>
                <c:ptCount val="1"/>
                <c:pt idx="0">
                  <c:v>0.23612852736328649</c:v>
                </c:pt>
              </c:numCache>
            </c:numRef>
          </c:val>
          <c:extLst>
            <c:ext xmlns:c16="http://schemas.microsoft.com/office/drawing/2014/chart" uri="{C3380CC4-5D6E-409C-BE32-E72D297353CC}">
              <c16:uniqueId val="{00000003-9AF5-4C13-A384-2EBEE9B0B37B}"/>
            </c:ext>
          </c:extLst>
        </c:ser>
        <c:ser>
          <c:idx val="2"/>
          <c:order val="2"/>
          <c:tx>
            <c:strRef>
              <c:f>'COMPARATIVE HEADLINES'!$E$16</c:f>
              <c:strCache>
                <c:ptCount val="1"/>
                <c:pt idx="0">
                  <c:v>Economic Impact</c:v>
                </c:pt>
              </c:strCache>
            </c:strRef>
          </c:tx>
          <c:spPr>
            <a:solidFill>
              <a:schemeClr val="accent1"/>
            </a:solidFill>
            <a:ln>
              <a:solidFill>
                <a:schemeClr val="bg1"/>
              </a:solidFill>
            </a:ln>
            <a:effectLst/>
          </c:spPr>
          <c:invertIfNegative val="0"/>
          <c:dLbls>
            <c:dLbl>
              <c:idx val="0"/>
              <c:numFmt formatCode="0.0%" sourceLinked="0"/>
              <c:spPr>
                <a:solidFill>
                  <a:schemeClr val="bg1">
                    <a:alpha val="25000"/>
                  </a:schemeClr>
                </a:solidFill>
                <a:ln>
                  <a:noFill/>
                </a:ln>
                <a:effectLst/>
              </c:spPr>
              <c:txPr>
                <a:bodyPr rot="-5400000" spcFirstLastPara="1" vertOverflow="ellipsis" horzOverflow="clip" vert="horz" wrap="square" lIns="38100" tIns="38160" rIns="38100" bIns="38160" anchor="b" anchorCtr="0">
                  <a:spAutoFit/>
                </a:bodyPr>
                <a:lstStyle/>
                <a:p>
                  <a:pPr algn="ctr" rtl="0">
                    <a:defRPr lang="en-GB" sz="1000" b="1" i="0" u="none" strike="noStrike" kern="1200" baseline="0">
                      <a:ln w="0">
                        <a:noFill/>
                      </a:ln>
                      <a:solidFill>
                        <a:sysClr val="windowText" lastClr="000000"/>
                      </a:solidFill>
                      <a:effectLst>
                        <a:outerShdw blurRad="63500" sx="126000" sy="126000" algn="ctr" rotWithShape="0">
                          <a:schemeClr val="bg1">
                            <a:alpha val="26000"/>
                          </a:schemeClr>
                        </a:outerShdw>
                      </a:effectLst>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 xmlns:c16="http://schemas.microsoft.com/office/drawing/2014/chart" uri="{C3380CC4-5D6E-409C-BE32-E72D297353CC}">
                  <c16:uniqueId val="{00000004-9AF5-4C13-A384-2EBEE9B0B37B}"/>
                </c:ext>
              </c:extLst>
            </c:dLbl>
            <c:numFmt formatCode="0.0%" sourceLinked="0"/>
            <c:spPr>
              <a:solidFill>
                <a:schemeClr val="bg1">
                  <a:alpha val="25000"/>
                </a:schemeClr>
              </a:solidFill>
              <a:ln>
                <a:noFill/>
              </a:ln>
              <a:effectLst/>
            </c:spPr>
            <c:txPr>
              <a:bodyPr rot="0" spcFirstLastPara="1" vertOverflow="ellipsis" vert="horz" wrap="square" lIns="38100" tIns="38160" rIns="38100" bIns="38160" anchor="ctr" anchorCtr="0">
                <a:spAutoFit/>
              </a:bodyPr>
              <a:lstStyle/>
              <a:p>
                <a:pPr algn="ctr" rtl="0">
                  <a:defRPr lang="en-GB" sz="1000" b="1" i="0" u="none" strike="noStrike" kern="1200" baseline="0">
                    <a:ln w="0">
                      <a:noFill/>
                    </a:ln>
                    <a:solidFill>
                      <a:sysClr val="windowText" lastClr="000000"/>
                    </a:solidFill>
                    <a:effectLst>
                      <a:outerShdw blurRad="63500" sx="126000" sy="126000" algn="ctr" rotWithShape="0">
                        <a:schemeClr val="bg1">
                          <a:alpha val="26000"/>
                        </a:schemeClr>
                      </a:outerShdw>
                    </a:effectLst>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'COMPARATIVE HEADLINES'!$U$16</c:f>
              <c:numCache>
                <c:formatCode>0.0%</c:formatCode>
                <c:ptCount val="1"/>
                <c:pt idx="0">
                  <c:v>0.49929895051374396</c:v>
                </c:pt>
              </c:numCache>
            </c:numRef>
          </c:val>
          <c:extLst>
            <c:ext xmlns:c16="http://schemas.microsoft.com/office/drawing/2014/chart" uri="{C3380CC4-5D6E-409C-BE32-E72D297353CC}">
              <c16:uniqueId val="{00000005-9AF5-4C13-A384-2EBEE9B0B37B}"/>
            </c:ext>
          </c:extLst>
        </c:ser>
        <c:ser>
          <c:idx val="3"/>
          <c:order val="3"/>
          <c:tx>
            <c:strRef>
              <c:f>'COMPARATIVE HEADLINES'!$E$17</c:f>
              <c:strCache>
                <c:ptCount val="1"/>
                <c:pt idx="0">
                  <c:v>Direct Employment</c:v>
                </c:pt>
              </c:strCache>
            </c:strRef>
          </c:tx>
          <c:spPr>
            <a:solidFill>
              <a:schemeClr val="accent6">
                <a:lumMod val="60000"/>
                <a:lumOff val="40000"/>
              </a:schemeClr>
            </a:solidFill>
            <a:ln>
              <a:solidFill>
                <a:schemeClr val="bg1"/>
              </a:solidFill>
            </a:ln>
            <a:effectLst/>
          </c:spPr>
          <c:invertIfNegative val="0"/>
          <c:dLbls>
            <c:numFmt formatCode="0.0%" sourceLinked="0"/>
            <c:spPr>
              <a:solidFill>
                <a:schemeClr val="bg1">
                  <a:alpha val="25000"/>
                </a:schemeClr>
              </a:solidFill>
              <a:ln>
                <a:noFill/>
              </a:ln>
              <a:effectLst/>
            </c:spPr>
            <c:txPr>
              <a:bodyPr rot="-5400000" spcFirstLastPara="1" vertOverflow="ellipsis" horzOverflow="clip" vert="horz" wrap="square" lIns="38100" tIns="38160" rIns="38100" bIns="38160" anchor="ctr" anchorCtr="0">
                <a:spAutoFit/>
              </a:bodyPr>
              <a:lstStyle/>
              <a:p>
                <a:pPr algn="ctr" rtl="0">
                  <a:defRPr lang="en-GB" sz="1000" b="1" i="0" u="none" strike="noStrike" kern="1200" baseline="0">
                    <a:ln w="0">
                      <a:noFill/>
                    </a:ln>
                    <a:solidFill>
                      <a:sysClr val="windowText" lastClr="000000"/>
                    </a:solidFill>
                    <a:effectLst>
                      <a:outerShdw blurRad="63500" sx="126000" sy="126000" algn="ctr" rotWithShape="0">
                        <a:schemeClr val="bg1">
                          <a:alpha val="26000"/>
                        </a:schemeClr>
                      </a:outerShdw>
                    </a:effectLst>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cap="flat" cmpd="sng" algn="ctr">
                      <a:solidFill>
                        <a:schemeClr val="tx1">
                          <a:lumMod val="35000"/>
                          <a:lumOff val="65000"/>
                        </a:schemeClr>
                      </a:solidFill>
                      <a:round/>
                    </a:ln>
                    <a:effectLst/>
                  </c:spPr>
                </c15:leaderLines>
              </c:ext>
            </c:extLst>
          </c:dLbls>
          <c:val>
            <c:numRef>
              <c:f>'COMPARATIVE HEADLINES'!$U$17</c:f>
              <c:numCache>
                <c:formatCode>0.0%</c:formatCode>
                <c:ptCount val="1"/>
                <c:pt idx="0">
                  <c:v>0.44649822863574262</c:v>
                </c:pt>
              </c:numCache>
            </c:numRef>
          </c:val>
          <c:extLst>
            <c:ext xmlns:c16="http://schemas.microsoft.com/office/drawing/2014/chart" uri="{C3380CC4-5D6E-409C-BE32-E72D297353CC}">
              <c16:uniqueId val="{00000006-9AF5-4C13-A384-2EBEE9B0B37B}"/>
            </c:ext>
          </c:extLst>
        </c:ser>
        <c:dLbls>
          <c:dLblPos val="outEnd"/>
          <c:showLegendKey val="0"/>
          <c:showVal val="1"/>
          <c:showCatName val="0"/>
          <c:showSerName val="0"/>
          <c:showPercent val="0"/>
          <c:showBubbleSize val="0"/>
        </c:dLbls>
        <c:gapWidth val="0"/>
        <c:overlap val="10"/>
        <c:axId val="683559968"/>
        <c:axId val="683556048"/>
      </c:barChart>
      <c:catAx>
        <c:axId val="683559968"/>
        <c:scaling>
          <c:orientation val="minMax"/>
        </c:scaling>
        <c:delete val="1"/>
        <c:axPos val="b"/>
        <c:majorTickMark val="none"/>
        <c:minorTickMark val="none"/>
        <c:tickLblPos val="nextTo"/>
        <c:crossAx val="683556048"/>
        <c:crosses val="autoZero"/>
        <c:auto val="1"/>
        <c:lblAlgn val="ctr"/>
        <c:lblOffset val="100"/>
        <c:noMultiLvlLbl val="0"/>
      </c:catAx>
      <c:valAx>
        <c:axId val="683556048"/>
        <c:scaling>
          <c:orientation val="minMax"/>
        </c:scaling>
        <c:delete val="0"/>
        <c:axPos val="l"/>
        <c:majorGridlines>
          <c:spPr>
            <a:ln w="9525" cap="flat" cmpd="sng" algn="ctr">
              <a:no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lgn="ctr">
              <a:defRPr lang="en-GB" sz="800" b="1" i="0" u="none" strike="noStrike" kern="1200" baseline="0">
                <a:ln w="0">
                  <a:noFill/>
                </a:ln>
                <a:solidFill>
                  <a:sysClr val="windowText" lastClr="000000"/>
                </a:solidFill>
                <a:effectLst>
                  <a:outerShdw blurRad="63500" sx="126000" sy="126000" algn="ctr" rotWithShape="0">
                    <a:schemeClr val="bg1">
                      <a:alpha val="26000"/>
                    </a:schemeClr>
                  </a:outerShdw>
                </a:effectLst>
                <a:latin typeface="+mn-lt"/>
                <a:ea typeface="+mn-ea"/>
                <a:cs typeface="+mn-cs"/>
              </a:defRPr>
            </a:pPr>
            <a:endParaRPr lang="en-US"/>
          </a:p>
        </c:txPr>
        <c:crossAx val="683559968"/>
        <c:crosses val="autoZero"/>
        <c:crossBetween val="between"/>
      </c:valAx>
      <c:spPr>
        <a:noFill/>
        <a:ln>
          <a:noFill/>
        </a:ln>
        <a:effectLst/>
      </c:spPr>
    </c:plotArea>
    <c:plotVisOnly val="1"/>
    <c:dispBlanksAs val="gap"/>
    <c:showDLblsOverMax val="0"/>
  </c:chart>
  <c:spPr>
    <a:solidFill>
      <a:sysClr val="window" lastClr="FFFFFF">
        <a:alpha val="5000"/>
      </a:sys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27029791174591639"/>
          <c:y val="5.3890945750986421E-2"/>
          <c:w val="0.72970208825408356"/>
          <c:h val="0.89221810849802718"/>
        </c:manualLayout>
      </c:layout>
      <c:barChart>
        <c:barDir val="col"/>
        <c:grouping val="clustered"/>
        <c:varyColors val="0"/>
        <c:ser>
          <c:idx val="0"/>
          <c:order val="0"/>
          <c:tx>
            <c:strRef>
              <c:f>'COMPARATIVE HEADLINES'!$E$13</c:f>
              <c:strCache>
                <c:ptCount val="1"/>
                <c:pt idx="0">
                  <c:v>Visitor Days</c:v>
                </c:pt>
              </c:strCache>
            </c:strRef>
          </c:tx>
          <c:spPr>
            <a:solidFill>
              <a:srgbClr val="FF0000"/>
            </a:solidFill>
            <a:ln>
              <a:solidFill>
                <a:schemeClr val="bg1"/>
              </a:solidFill>
            </a:ln>
            <a:effectLst/>
          </c:spPr>
          <c:invertIfNegative val="0"/>
          <c:dLbls>
            <c:dLbl>
              <c:idx val="0"/>
              <c:numFmt formatCode="0.0%" sourceLinked="0"/>
              <c:spPr>
                <a:solidFill>
                  <a:schemeClr val="bg1">
                    <a:alpha val="25000"/>
                  </a:schemeClr>
                </a:solidFill>
                <a:ln>
                  <a:noFill/>
                </a:ln>
                <a:effectLst/>
              </c:spPr>
              <c:txPr>
                <a:bodyPr rot="-5400000" spcFirstLastPara="1" vertOverflow="ellipsis" horzOverflow="clip" vert="horz" wrap="square" lIns="38100" tIns="38160" rIns="38100" bIns="38160" anchor="b" anchorCtr="0">
                  <a:spAutoFit/>
                </a:bodyPr>
                <a:lstStyle/>
                <a:p>
                  <a:pPr algn="ctr" rtl="0">
                    <a:defRPr lang="en-GB" sz="1000" b="1" i="0" u="none" strike="noStrike" kern="1200" baseline="0">
                      <a:ln w="0">
                        <a:noFill/>
                      </a:ln>
                      <a:solidFill>
                        <a:sysClr val="windowText" lastClr="000000"/>
                      </a:solidFill>
                      <a:effectLst>
                        <a:outerShdw blurRad="63500" sx="126000" sy="126000" algn="ctr" rotWithShape="0">
                          <a:schemeClr val="bg1">
                            <a:alpha val="26000"/>
                          </a:schemeClr>
                        </a:outerShdw>
                      </a:effectLst>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 xmlns:c16="http://schemas.microsoft.com/office/drawing/2014/chart" uri="{C3380CC4-5D6E-409C-BE32-E72D297353CC}">
                  <c16:uniqueId val="{00000000-FC92-4C34-BB5D-7C7D52CDECDC}"/>
                </c:ext>
              </c:extLst>
            </c:dLbl>
            <c:numFmt formatCode="0.0%" sourceLinked="0"/>
            <c:spPr>
              <a:solidFill>
                <a:schemeClr val="bg1">
                  <a:alpha val="25000"/>
                </a:schemeClr>
              </a:solidFill>
              <a:ln>
                <a:noFill/>
              </a:ln>
              <a:effectLst/>
            </c:spPr>
            <c:txPr>
              <a:bodyPr rot="-5400000" spcFirstLastPara="1" vertOverflow="ellipsis" wrap="square" lIns="38100" tIns="19050" rIns="38100" bIns="19050" anchor="b" anchorCtr="0">
                <a:spAutoFit/>
              </a:bodyPr>
              <a:lstStyle/>
              <a:p>
                <a:pPr algn="ctr" rtl="0">
                  <a:defRPr lang="en-GB" sz="1000" b="1" i="0" u="none" strike="noStrike" kern="1200" baseline="0">
                    <a:ln w="0">
                      <a:noFill/>
                    </a:ln>
                    <a:solidFill>
                      <a:sysClr val="windowText" lastClr="000000"/>
                    </a:solidFill>
                    <a:effectLst>
                      <a:outerShdw blurRad="63500" sx="126000" sy="126000" algn="ctr" rotWithShape="0">
                        <a:schemeClr val="bg1">
                          <a:alpha val="26000"/>
                        </a:schemeClr>
                      </a:outerShdw>
                    </a:effectLst>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'COMPARATIVE HEADLINES'!$X$13</c:f>
              <c:numCache>
                <c:formatCode>0.0%</c:formatCode>
                <c:ptCount val="1"/>
                <c:pt idx="0">
                  <c:v>0.30221192987078394</c:v>
                </c:pt>
              </c:numCache>
            </c:numRef>
          </c:val>
          <c:extLst>
            <c:ext xmlns:c16="http://schemas.microsoft.com/office/drawing/2014/chart" uri="{C3380CC4-5D6E-409C-BE32-E72D297353CC}">
              <c16:uniqueId val="{00000001-FC92-4C34-BB5D-7C7D52CDECDC}"/>
            </c:ext>
          </c:extLst>
        </c:ser>
        <c:ser>
          <c:idx val="1"/>
          <c:order val="1"/>
          <c:tx>
            <c:strRef>
              <c:f>'COMPARATIVE HEADLINES'!$E$14</c:f>
              <c:strCache>
                <c:ptCount val="1"/>
                <c:pt idx="0">
                  <c:v>Visitor Numbers</c:v>
                </c:pt>
              </c:strCache>
            </c:strRef>
          </c:tx>
          <c:spPr>
            <a:solidFill>
              <a:srgbClr val="00B050"/>
            </a:solidFill>
            <a:ln>
              <a:solidFill>
                <a:schemeClr val="bg1"/>
              </a:solidFill>
            </a:ln>
            <a:effectLst/>
          </c:spPr>
          <c:invertIfNegative val="0"/>
          <c:dLbls>
            <c:dLbl>
              <c:idx val="0"/>
              <c:numFmt formatCode="0.0%" sourceLinked="0"/>
              <c:spPr>
                <a:solidFill>
                  <a:schemeClr val="bg1">
                    <a:alpha val="25000"/>
                  </a:schemeClr>
                </a:solidFill>
                <a:ln>
                  <a:noFill/>
                </a:ln>
                <a:effectLst/>
              </c:spPr>
              <c:txPr>
                <a:bodyPr rot="-5400000" spcFirstLastPara="1" vertOverflow="ellipsis" horzOverflow="clip" vert="horz" wrap="square" lIns="38160" tIns="38160" rIns="38100" bIns="38160" anchor="ctr" anchorCtr="0">
                  <a:spAutoFit/>
                </a:bodyPr>
                <a:lstStyle/>
                <a:p>
                  <a:pPr algn="ctr">
                    <a:defRPr lang="en-US" sz="1000" b="1" i="0" u="none" strike="noStrike" kern="1200" baseline="0">
                      <a:ln w="0">
                        <a:noFill/>
                      </a:ln>
                      <a:solidFill>
                        <a:sysClr val="windowText" lastClr="000000"/>
                      </a:solidFill>
                      <a:effectLst>
                        <a:outerShdw blurRad="63500" sx="126000" sy="126000" algn="ctr" rotWithShape="0">
                          <a:schemeClr val="bg1">
                            <a:alpha val="26000"/>
                          </a:schemeClr>
                        </a:outerShdw>
                      </a:effectLst>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 xmlns:c16="http://schemas.microsoft.com/office/drawing/2014/chart" uri="{C3380CC4-5D6E-409C-BE32-E72D297353CC}">
                  <c16:uniqueId val="{00000002-FC92-4C34-BB5D-7C7D52CDECDC}"/>
                </c:ext>
              </c:extLst>
            </c:dLbl>
            <c:numFmt formatCode="0.0%" sourceLinked="0"/>
            <c:spPr>
              <a:solidFill>
                <a:schemeClr val="bg1">
                  <a:alpha val="25000"/>
                </a:schemeClr>
              </a:solidFill>
              <a:ln>
                <a:noFill/>
              </a:ln>
              <a:effectLst/>
            </c:spPr>
            <c:txPr>
              <a:bodyPr rot="0" spcFirstLastPara="1" vertOverflow="ellipsis" vert="horz" wrap="square" lIns="38160" tIns="38160" rIns="38100" bIns="38160" anchor="ctr" anchorCtr="0">
                <a:spAutoFit/>
              </a:bodyPr>
              <a:lstStyle/>
              <a:p>
                <a:pPr algn="ctr">
                  <a:defRPr lang="en-GB" sz="1000" b="1" i="0" u="none" strike="noStrike" kern="1200" baseline="0">
                    <a:ln w="0">
                      <a:noFill/>
                    </a:ln>
                    <a:solidFill>
                      <a:sysClr val="windowText" lastClr="000000"/>
                    </a:solidFill>
                    <a:effectLst>
                      <a:outerShdw blurRad="63500" sx="126000" sy="126000" algn="ctr" rotWithShape="0">
                        <a:schemeClr val="bg1">
                          <a:alpha val="26000"/>
                        </a:schemeClr>
                      </a:outerShdw>
                    </a:effectLst>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'COMPARATIVE HEADLINES'!$X$14</c:f>
              <c:numCache>
                <c:formatCode>0.0%</c:formatCode>
                <c:ptCount val="1"/>
                <c:pt idx="0">
                  <c:v>0.32804364568177968</c:v>
                </c:pt>
              </c:numCache>
            </c:numRef>
          </c:val>
          <c:extLst>
            <c:ext xmlns:c16="http://schemas.microsoft.com/office/drawing/2014/chart" uri="{C3380CC4-5D6E-409C-BE32-E72D297353CC}">
              <c16:uniqueId val="{00000003-FC92-4C34-BB5D-7C7D52CDECDC}"/>
            </c:ext>
          </c:extLst>
        </c:ser>
        <c:ser>
          <c:idx val="2"/>
          <c:order val="2"/>
          <c:tx>
            <c:strRef>
              <c:f>'COMPARATIVE HEADLINES'!$E$16</c:f>
              <c:strCache>
                <c:ptCount val="1"/>
                <c:pt idx="0">
                  <c:v>Economic Impact</c:v>
                </c:pt>
              </c:strCache>
            </c:strRef>
          </c:tx>
          <c:spPr>
            <a:solidFill>
              <a:schemeClr val="accent1"/>
            </a:solidFill>
            <a:ln>
              <a:solidFill>
                <a:schemeClr val="bg1"/>
              </a:solidFill>
            </a:ln>
            <a:effectLst/>
          </c:spPr>
          <c:invertIfNegative val="0"/>
          <c:dLbls>
            <c:dLbl>
              <c:idx val="0"/>
              <c:numFmt formatCode="0.0%" sourceLinked="0"/>
              <c:spPr>
                <a:solidFill>
                  <a:schemeClr val="bg1">
                    <a:alpha val="25000"/>
                  </a:schemeClr>
                </a:solidFill>
                <a:ln>
                  <a:noFill/>
                </a:ln>
                <a:effectLst/>
              </c:spPr>
              <c:txPr>
                <a:bodyPr rot="-5400000" spcFirstLastPara="1" vertOverflow="ellipsis" horzOverflow="clip" vert="horz" wrap="square" lIns="38100" tIns="38160" rIns="38100" bIns="38160" anchor="b" anchorCtr="0">
                  <a:spAutoFit/>
                </a:bodyPr>
                <a:lstStyle/>
                <a:p>
                  <a:pPr algn="ctr" rtl="0">
                    <a:defRPr lang="en-GB" sz="1000" b="1" i="0" u="none" strike="noStrike" kern="1200" baseline="0">
                      <a:ln w="0">
                        <a:noFill/>
                      </a:ln>
                      <a:solidFill>
                        <a:sysClr val="windowText" lastClr="000000"/>
                      </a:solidFill>
                      <a:effectLst>
                        <a:outerShdw blurRad="63500" sx="126000" sy="126000" algn="ctr" rotWithShape="0">
                          <a:schemeClr val="bg1">
                            <a:alpha val="26000"/>
                          </a:schemeClr>
                        </a:outerShdw>
                      </a:effectLst>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 xmlns:c16="http://schemas.microsoft.com/office/drawing/2014/chart" uri="{C3380CC4-5D6E-409C-BE32-E72D297353CC}">
                  <c16:uniqueId val="{00000004-FC92-4C34-BB5D-7C7D52CDECDC}"/>
                </c:ext>
              </c:extLst>
            </c:dLbl>
            <c:numFmt formatCode="0.0%" sourceLinked="0"/>
            <c:spPr>
              <a:solidFill>
                <a:schemeClr val="bg1">
                  <a:alpha val="25000"/>
                </a:schemeClr>
              </a:solidFill>
              <a:ln>
                <a:noFill/>
              </a:ln>
              <a:effectLst/>
            </c:spPr>
            <c:txPr>
              <a:bodyPr rot="0" spcFirstLastPara="1" vertOverflow="ellipsis" vert="horz" wrap="square" lIns="38100" tIns="38160" rIns="38100" bIns="38160" anchor="ctr" anchorCtr="0">
                <a:spAutoFit/>
              </a:bodyPr>
              <a:lstStyle/>
              <a:p>
                <a:pPr algn="ctr" rtl="0">
                  <a:defRPr lang="en-GB" sz="1000" b="1" i="0" u="none" strike="noStrike" kern="1200" baseline="0">
                    <a:ln w="0">
                      <a:noFill/>
                    </a:ln>
                    <a:solidFill>
                      <a:sysClr val="windowText" lastClr="000000"/>
                    </a:solidFill>
                    <a:effectLst>
                      <a:outerShdw blurRad="63500" sx="126000" sy="126000" algn="ctr" rotWithShape="0">
                        <a:schemeClr val="bg1">
                          <a:alpha val="26000"/>
                        </a:schemeClr>
                      </a:outerShdw>
                    </a:effectLst>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'COMPARATIVE HEADLINES'!$X$16</c:f>
              <c:numCache>
                <c:formatCode>0.0%</c:formatCode>
                <c:ptCount val="1"/>
                <c:pt idx="0">
                  <c:v>0.23197654419366809</c:v>
                </c:pt>
              </c:numCache>
            </c:numRef>
          </c:val>
          <c:extLst>
            <c:ext xmlns:c16="http://schemas.microsoft.com/office/drawing/2014/chart" uri="{C3380CC4-5D6E-409C-BE32-E72D297353CC}">
              <c16:uniqueId val="{00000005-FC92-4C34-BB5D-7C7D52CDECDC}"/>
            </c:ext>
          </c:extLst>
        </c:ser>
        <c:ser>
          <c:idx val="3"/>
          <c:order val="3"/>
          <c:tx>
            <c:strRef>
              <c:f>'COMPARATIVE HEADLINES'!$E$17</c:f>
              <c:strCache>
                <c:ptCount val="1"/>
                <c:pt idx="0">
                  <c:v>Direct Employment</c:v>
                </c:pt>
              </c:strCache>
            </c:strRef>
          </c:tx>
          <c:spPr>
            <a:solidFill>
              <a:schemeClr val="accent6">
                <a:lumMod val="60000"/>
                <a:lumOff val="40000"/>
              </a:schemeClr>
            </a:solidFill>
            <a:ln>
              <a:solidFill>
                <a:schemeClr val="bg1"/>
              </a:solidFill>
            </a:ln>
            <a:effectLst/>
          </c:spPr>
          <c:invertIfNegative val="0"/>
          <c:dLbls>
            <c:numFmt formatCode="0.0%" sourceLinked="0"/>
            <c:spPr>
              <a:solidFill>
                <a:schemeClr val="bg1">
                  <a:alpha val="25000"/>
                </a:schemeClr>
              </a:solidFill>
              <a:ln>
                <a:noFill/>
              </a:ln>
              <a:effectLst/>
            </c:spPr>
            <c:txPr>
              <a:bodyPr rot="-5400000" spcFirstLastPara="1" vertOverflow="ellipsis" horzOverflow="clip" vert="horz" wrap="square" lIns="38100" tIns="38160" rIns="38100" bIns="38160" anchor="ctr" anchorCtr="0">
                <a:spAutoFit/>
              </a:bodyPr>
              <a:lstStyle/>
              <a:p>
                <a:pPr algn="ctr" rtl="0">
                  <a:defRPr lang="en-GB" sz="1000" b="1" i="0" u="none" strike="noStrike" kern="1200" baseline="0">
                    <a:ln w="0">
                      <a:noFill/>
                    </a:ln>
                    <a:solidFill>
                      <a:sysClr val="windowText" lastClr="000000"/>
                    </a:solidFill>
                    <a:effectLst>
                      <a:outerShdw blurRad="63500" sx="126000" sy="126000" algn="ctr" rotWithShape="0">
                        <a:schemeClr val="bg1">
                          <a:alpha val="26000"/>
                        </a:schemeClr>
                      </a:outerShdw>
                    </a:effectLst>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cap="flat" cmpd="sng" algn="ctr">
                      <a:solidFill>
                        <a:schemeClr val="tx1">
                          <a:lumMod val="35000"/>
                          <a:lumOff val="65000"/>
                        </a:schemeClr>
                      </a:solidFill>
                      <a:round/>
                    </a:ln>
                    <a:effectLst/>
                  </c:spPr>
                </c15:leaderLines>
              </c:ext>
            </c:extLst>
          </c:dLbls>
          <c:val>
            <c:numRef>
              <c:f>'COMPARATIVE HEADLINES'!$X$17</c:f>
              <c:numCache>
                <c:formatCode>0.0%</c:formatCode>
                <c:ptCount val="1"/>
                <c:pt idx="0">
                  <c:v>0.22536313475220515</c:v>
                </c:pt>
              </c:numCache>
            </c:numRef>
          </c:val>
          <c:extLst>
            <c:ext xmlns:c16="http://schemas.microsoft.com/office/drawing/2014/chart" uri="{C3380CC4-5D6E-409C-BE32-E72D297353CC}">
              <c16:uniqueId val="{00000006-FC92-4C34-BB5D-7C7D52CDECDC}"/>
            </c:ext>
          </c:extLst>
        </c:ser>
        <c:dLbls>
          <c:dLblPos val="outEnd"/>
          <c:showLegendKey val="0"/>
          <c:showVal val="1"/>
          <c:showCatName val="0"/>
          <c:showSerName val="0"/>
          <c:showPercent val="0"/>
          <c:showBubbleSize val="0"/>
        </c:dLbls>
        <c:gapWidth val="0"/>
        <c:overlap val="10"/>
        <c:axId val="683560360"/>
        <c:axId val="683561144"/>
      </c:barChart>
      <c:catAx>
        <c:axId val="683560360"/>
        <c:scaling>
          <c:orientation val="minMax"/>
        </c:scaling>
        <c:delete val="1"/>
        <c:axPos val="b"/>
        <c:majorTickMark val="none"/>
        <c:minorTickMark val="none"/>
        <c:tickLblPos val="nextTo"/>
        <c:crossAx val="683561144"/>
        <c:crosses val="autoZero"/>
        <c:auto val="1"/>
        <c:lblAlgn val="ctr"/>
        <c:lblOffset val="100"/>
        <c:noMultiLvlLbl val="0"/>
      </c:catAx>
      <c:valAx>
        <c:axId val="683561144"/>
        <c:scaling>
          <c:orientation val="minMax"/>
        </c:scaling>
        <c:delete val="0"/>
        <c:axPos val="l"/>
        <c:majorGridlines>
          <c:spPr>
            <a:ln w="9525" cap="flat" cmpd="sng" algn="ctr">
              <a:no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lgn="ctr">
              <a:defRPr lang="en-GB" sz="800" b="1" i="0" u="none" strike="noStrike" kern="1200" baseline="0">
                <a:ln w="0">
                  <a:noFill/>
                </a:ln>
                <a:solidFill>
                  <a:sysClr val="windowText" lastClr="000000"/>
                </a:solidFill>
                <a:effectLst>
                  <a:outerShdw blurRad="63500" sx="126000" sy="126000" algn="ctr" rotWithShape="0">
                    <a:schemeClr val="bg1">
                      <a:alpha val="26000"/>
                    </a:schemeClr>
                  </a:outerShdw>
                </a:effectLst>
                <a:latin typeface="+mn-lt"/>
                <a:ea typeface="+mn-ea"/>
                <a:cs typeface="+mn-cs"/>
              </a:defRPr>
            </a:pPr>
            <a:endParaRPr lang="en-US"/>
          </a:p>
        </c:txPr>
        <c:crossAx val="683560360"/>
        <c:crosses val="autoZero"/>
        <c:crossBetween val="between"/>
      </c:valAx>
      <c:spPr>
        <a:noFill/>
        <a:ln>
          <a:noFill/>
        </a:ln>
        <a:effectLst/>
      </c:spPr>
    </c:plotArea>
    <c:plotVisOnly val="1"/>
    <c:dispBlanksAs val="gap"/>
    <c:showDLblsOverMax val="0"/>
  </c:chart>
  <c:spPr>
    <a:solidFill>
      <a:sysClr val="window" lastClr="FFFFFF">
        <a:alpha val="5000"/>
      </a:sys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981273408239701"/>
          <c:y val="0"/>
          <c:w val="0.85018726591760296"/>
          <c:h val="0.6863162393162392"/>
        </c:manualLayout>
      </c:layout>
      <c:barChart>
        <c:barDir val="col"/>
        <c:grouping val="clustered"/>
        <c:varyColors val="0"/>
        <c:ser>
          <c:idx val="4"/>
          <c:order val="0"/>
          <c:tx>
            <c:v>Economic Impact</c:v>
          </c:tx>
          <c:spPr>
            <a:solidFill>
              <a:schemeClr val="accent1"/>
            </a:solidFill>
            <a:ln w="3175">
              <a:solidFill>
                <a:schemeClr val="tx1">
                  <a:lumMod val="65000"/>
                  <a:lumOff val="35000"/>
                </a:schemeClr>
              </a:solidFill>
            </a:ln>
            <a:effectLst/>
          </c:spPr>
          <c:invertIfNegative val="0"/>
          <c:dLbls>
            <c:spPr>
              <a:noFill/>
              <a:ln>
                <a:noFill/>
              </a:ln>
              <a:effectLst/>
            </c:spPr>
            <c:txPr>
              <a:bodyPr rot="-5400000" spcFirstLastPara="1" vertOverflow="ellipsis" vert="horz" wrap="square" lIns="0" tIns="0" rIns="0" bIns="0" anchor="ctr" anchorCtr="0">
                <a:spAutoFit/>
              </a:bodyPr>
              <a:lstStyle/>
              <a:p>
                <a:pPr algn="ctr">
                  <a:defRPr lang="en-GB" sz="1000" b="1" i="0" u="none" strike="noStrike" kern="1200" baseline="0">
                    <a:ln w="3175">
                      <a:noFill/>
                    </a:ln>
                    <a:solidFill>
                      <a:schemeClr val="bg1"/>
                    </a:solidFill>
                    <a:latin typeface="+mn-lt"/>
                    <a:ea typeface="+mn-ea"/>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trendline>
            <c:spPr>
              <a:ln w="63500" cap="rnd">
                <a:solidFill>
                  <a:schemeClr val="accent5"/>
                </a:solidFill>
                <a:prstDash val="sysDash"/>
              </a:ln>
              <a:effectLst>
                <a:softEdge rad="0"/>
              </a:effectLst>
            </c:spPr>
            <c:trendlineType val="linear"/>
            <c:dispRSqr val="0"/>
            <c:dispEq val="0"/>
          </c:trendline>
          <c:cat>
            <c:numRef>
              <c:f>[0]!EIYEARS</c:f>
              <c:numCache>
                <c:formatCode>0</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numCache>
            </c:numRef>
          </c:cat>
          <c:val>
            <c:numRef>
              <c:f>[0]!EIVISTYPETOTAL</c:f>
              <c:numCache>
                <c:formatCode>#,##0.00</c:formatCode>
                <c:ptCount val="12"/>
                <c:pt idx="0">
                  <c:v>1271.0067503525315</c:v>
                </c:pt>
                <c:pt idx="1">
                  <c:v>1138.2461488954439</c:v>
                </c:pt>
                <c:pt idx="2">
                  <c:v>1178.554199207525</c:v>
                </c:pt>
                <c:pt idx="3">
                  <c:v>1226.6205439528562</c:v>
                </c:pt>
                <c:pt idx="4">
                  <c:v>1199.0679780326702</c:v>
                </c:pt>
                <c:pt idx="5">
                  <c:v>1236.7650989208178</c:v>
                </c:pt>
                <c:pt idx="6">
                  <c:v>1291.6832130643966</c:v>
                </c:pt>
                <c:pt idx="7">
                  <c:v>1384.2194322880209</c:v>
                </c:pt>
                <c:pt idx="8">
                  <c:v>1516.9062069621152</c:v>
                </c:pt>
                <c:pt idx="9">
                  <c:v>629.09235478267237</c:v>
                </c:pt>
                <c:pt idx="10">
                  <c:v>1236.5830974262517</c:v>
                </c:pt>
                <c:pt idx="11">
                  <c:v>1523.4413709754956</c:v>
                </c:pt>
              </c:numCache>
            </c:numRef>
          </c:val>
          <c:extLst>
            <c:ext xmlns:c16="http://schemas.microsoft.com/office/drawing/2014/chart" uri="{C3380CC4-5D6E-409C-BE32-E72D297353CC}">
              <c16:uniqueId val="{00000001-7A9E-42C3-8E46-9A55FB3BE946}"/>
            </c:ext>
          </c:extLst>
        </c:ser>
        <c:dLbls>
          <c:dLblPos val="inBase"/>
          <c:showLegendKey val="0"/>
          <c:showVal val="1"/>
          <c:showCatName val="0"/>
          <c:showSerName val="0"/>
          <c:showPercent val="0"/>
          <c:showBubbleSize val="0"/>
        </c:dLbls>
        <c:gapWidth val="75"/>
        <c:axId val="683566632"/>
        <c:axId val="683551736"/>
      </c:barChart>
      <c:valAx>
        <c:axId val="683551736"/>
        <c:scaling>
          <c:orientation val="minMax"/>
          <c:min val="0"/>
        </c:scaling>
        <c:delete val="1"/>
        <c:axPos val="r"/>
        <c:numFmt formatCode="#,##0.00" sourceLinked="1"/>
        <c:majorTickMark val="out"/>
        <c:minorTickMark val="none"/>
        <c:tickLblPos val="nextTo"/>
        <c:crossAx val="683566632"/>
        <c:crosses val="max"/>
        <c:crossBetween val="between"/>
      </c:valAx>
      <c:catAx>
        <c:axId val="683566632"/>
        <c:scaling>
          <c:orientation val="minMax"/>
        </c:scaling>
        <c:delete val="0"/>
        <c:axPos val="b"/>
        <c:numFmt formatCode="0" sourceLinked="1"/>
        <c:majorTickMark val="out"/>
        <c:minorTickMark val="none"/>
        <c:tickLblPos val="nextTo"/>
        <c:spPr>
          <a:noFill/>
          <a:ln w="9525" cap="flat" cmpd="sng" algn="ctr">
            <a:solidFill>
              <a:schemeClr val="accent1">
                <a:lumMod val="50000"/>
              </a:schemeClr>
            </a:solidFill>
            <a:round/>
          </a:ln>
          <a:effectLst/>
        </c:spPr>
        <c:txPr>
          <a:bodyPr rot="-5400000" spcFirstLastPara="1" vertOverflow="ellipsis"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crossAx val="683551736"/>
        <c:crosses val="autoZero"/>
        <c:auto val="1"/>
        <c:lblAlgn val="ctr"/>
        <c:lblOffset val="100"/>
        <c:noMultiLvlLbl val="0"/>
      </c:catAx>
      <c:spPr>
        <a:gradFill flip="none" rotWithShape="1">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tileRect/>
        </a:gradFill>
        <a:ln>
          <a:noFill/>
        </a:ln>
        <a:effectLst/>
      </c:spPr>
    </c:plotArea>
    <c:legend>
      <c:legendPos val="b"/>
      <c:layout>
        <c:manualLayout>
          <c:xMode val="edge"/>
          <c:yMode val="edge"/>
          <c:x val="5.0775884867046038E-3"/>
          <c:y val="0.90841282051282046"/>
          <c:w val="0.99492241151329541"/>
          <c:h val="9.1587179487179496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orientation="portrait"/>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3">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dataLabel>
  <cs:dataLabelCallout>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2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60">
  <cs:axisTitle>
    <cs:lnRef idx="0"/>
    <cs:fillRef idx="0"/>
    <cs:effectRef idx="0"/>
    <cs:fontRef idx="minor">
      <a:schemeClr val="lt1"/>
    </cs:fontRef>
    <cs:defRPr sz="900" b="1" kern="1200"/>
  </cs:axisTitle>
  <cs:categoryAxis>
    <cs:lnRef idx="0">
      <cs:styleClr val="0"/>
    </cs:lnRef>
    <cs:fillRef idx="0"/>
    <cs:effectRef idx="0"/>
    <cs:fontRef idx="minor">
      <a:schemeClr val="lt1"/>
    </cs:fontRef>
    <cs:spPr>
      <a:ln w="3175" cap="flat" cmpd="sng" algn="ctr">
        <a:solidFill>
          <a:schemeClr val="phClr">
            <a:lumMod val="60000"/>
            <a:lumOff val="40000"/>
          </a:schemeClr>
        </a:solidFill>
        <a:round/>
      </a:ln>
    </cs:spPr>
    <cs:defRPr sz="800" kern="1200" cap="all" spc="150" normalizeH="0" baseline="0"/>
  </cs:categoryAxis>
  <cs:chartArea>
    <cs:lnRef idx="0">
      <cs:styleClr val="0"/>
    </cs:lnRef>
    <cs:fillRef idx="0">
      <cs:styleClr val="0"/>
    </cs:fillRef>
    <cs:effectRef idx="0"/>
    <cs:fontRef idx="minor">
      <a:schemeClr val="dk1"/>
    </cs:fontRef>
    <cs:spPr>
      <a:solidFill>
        <a:schemeClr val="phClr"/>
      </a:solidFill>
      <a:ln w="9525" cap="flat" cmpd="sng" algn="ctr">
        <a:solidFill>
          <a:schemeClr val="phClr"/>
        </a:solidFill>
        <a:round/>
      </a:ln>
    </cs:spPr>
    <cs:defRPr sz="1000" kern="1200"/>
  </cs:chartArea>
  <cs:dataLabel>
    <cs:lnRef idx="0">
      <cs:styleClr val="0"/>
    </cs:lnRef>
    <cs:fillRef idx="0"/>
    <cs:effectRef idx="0"/>
    <cs:fontRef idx="minor">
      <cs:styleClr val="0"/>
    </cs:fontRef>
    <cs:defRPr sz="900" b="1" kern="1200"/>
  </cs:dataLabel>
  <cs:dataLabelCallout>
    <cs:lnRef idx="0">
      <cs:styleClr val="0"/>
    </cs:lnRef>
    <cs:fillRef idx="0"/>
    <cs:effectRef idx="0"/>
    <cs:fontRef idx="minor">
      <cs:styleClr val="0"/>
    </cs:fontRef>
    <cs:spPr>
      <a:solidFill>
        <a:schemeClr val="lt1"/>
      </a:solidFill>
      <a:ln>
        <a:solidFill>
          <a:schemeClr val="phClr"/>
        </a:solidFill>
      </a:ln>
    </cs:spPr>
    <cs:defRPr sz="900" b="1" kern="1200"/>
    <cs:bodyPr rot="0" spcFirstLastPara="1" vertOverflow="clip" horzOverflow="clip" vert="horz" wrap="square" lIns="36576" tIns="18288" rIns="36576" bIns="18288" anchor="ctr" anchorCtr="1">
      <a:spAutoFit/>
    </cs:bodyPr>
  </cs:dataLabelCallout>
  <cs:dataPoint>
    <cs:lnRef idx="0">
      <cs:styleClr val="0"/>
    </cs:lnRef>
    <cs:fillRef idx="0"/>
    <cs:effectRef idx="0"/>
    <cs:fontRef idx="minor">
      <a:schemeClr val="dk1"/>
    </cs:fontRef>
    <cs:spPr>
      <a:solidFill>
        <a:schemeClr val="lt1"/>
      </a:solidFill>
      <a:ln w="19050">
        <a:solidFill>
          <a:schemeClr val="phClr"/>
        </a:solidFill>
      </a:ln>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styleClr val="auto"/>
    </cs:effectRef>
    <cs:fontRef idx="minor">
      <a:schemeClr val="dk1"/>
    </cs:fontRef>
    <cs:spPr>
      <a:ln w="34925" cap="rnd">
        <a:solidFill>
          <a:schemeClr val="lt1"/>
        </a:solidFill>
        <a:round/>
      </a:ln>
      <a:effectLst>
        <a:outerShdw dist="25400" dir="2700000" algn="tl" rotWithShape="0">
          <a:schemeClr val="phClr"/>
        </a:outerShdw>
      </a:effectLst>
    </cs:spPr>
  </cs:dataPointLine>
  <cs:dataPointMarker>
    <cs:lnRef idx="0"/>
    <cs:fillRef idx="0">
      <cs:styleClr val="auto"/>
    </cs:fillRef>
    <cs:effectRef idx="0"/>
    <cs:fontRef idx="minor">
      <a:schemeClr val="dk1"/>
    </cs:fontRef>
    <cs:spPr>
      <a:solidFill>
        <a:schemeClr val="phClr"/>
      </a:solidFill>
      <a:ln w="22225">
        <a:solidFill>
          <a:schemeClr val="lt1"/>
        </a:solidFill>
        <a:round/>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styleClr val="0"/>
    </cs:lnRef>
    <cs:fillRef idx="0"/>
    <cs:effectRef idx="0"/>
    <cs:fontRef idx="minor">
      <a:schemeClr val="lt1"/>
    </cs:fontRef>
    <cs:spPr>
      <a:ln w="9525">
        <a:solidFill>
          <a:schemeClr val="phClr">
            <a:lumMod val="60000"/>
            <a:lumOff val="40000"/>
          </a:schemeClr>
        </a:solidFill>
      </a:ln>
    </cs:spPr>
    <cs:defRPr sz="900" kern="1200"/>
  </cs:dataTable>
  <cs:downBar>
    <cs:lnRef idx="0">
      <cs:styleClr val="0"/>
    </cs:lnRef>
    <cs:fillRef idx="0"/>
    <cs:effectRef idx="0"/>
    <cs:fontRef idx="minor">
      <a:schemeClr val="dk1"/>
    </cs:fontRef>
    <cs:spPr>
      <a:solidFill>
        <a:schemeClr val="dk1">
          <a:lumMod val="35000"/>
          <a:lumOff val="65000"/>
        </a:schemeClr>
      </a:solidFill>
      <a:ln w="9525">
        <a:solidFill>
          <a:schemeClr val="phClr">
            <a:lumMod val="60000"/>
            <a:lumOff val="40000"/>
          </a:schemeClr>
        </a:solidFill>
      </a:ln>
    </cs:spPr>
  </cs:downBar>
  <cs:dropLine>
    <cs:lnRef idx="0">
      <cs:styleClr val="0"/>
    </cs:lnRef>
    <cs:fillRef idx="0"/>
    <cs:effectRef idx="0"/>
    <cs:fontRef idx="minor">
      <a:schemeClr val="dk1"/>
    </cs:fontRef>
    <cs:spPr>
      <a:ln w="9525">
        <a:solidFill>
          <a:schemeClr val="phClr">
            <a:lumMod val="60000"/>
            <a:lumOff val="40000"/>
          </a:schemeClr>
        </a:solidFill>
        <a:prstDash val="dash"/>
      </a:ln>
    </cs:spPr>
  </cs:dropLine>
  <cs:errorBar>
    <cs:lnRef idx="0">
      <cs:styleClr val="0"/>
    </cs:lnRef>
    <cs:fillRef idx="0"/>
    <cs:effectRef idx="0"/>
    <cs:fontRef idx="minor">
      <a:schemeClr val="dk1"/>
    </cs:fontRef>
    <cs:spPr>
      <a:ln w="9525">
        <a:solidFill>
          <a:schemeClr val="phClr">
            <a:lumMod val="60000"/>
            <a:lumOff val="40000"/>
          </a:schemeClr>
        </a:solidFill>
        <a:round/>
      </a:ln>
      <a:effectLst>
        <a:glow rad="25400">
          <a:schemeClr val="lt1"/>
        </a:glow>
      </a:effectLst>
    </cs:spPr>
  </cs:errorBar>
  <cs:floor>
    <cs:lnRef idx="0"/>
    <cs:fillRef idx="0"/>
    <cs:effectRef idx="0"/>
    <cs:fontRef idx="minor">
      <a:schemeClr val="dk1"/>
    </cs:fontRef>
  </cs:floor>
  <cs:gridlineMajor>
    <cs:lnRef idx="0">
      <cs:styleClr val="0"/>
    </cs:lnRef>
    <cs:fillRef idx="0"/>
    <cs:effectRef idx="0"/>
    <cs:fontRef idx="minor">
      <a:schemeClr val="dk1"/>
    </cs:fontRef>
    <cs:spPr>
      <a:ln w="9525" cap="flat" cmpd="sng" algn="ctr">
        <a:solidFill>
          <a:schemeClr val="lt1">
            <a:alpha val="25000"/>
          </a:schemeClr>
        </a:solidFill>
        <a:round/>
      </a:ln>
    </cs:spPr>
  </cs:gridlineMajor>
  <cs:gridlineMinor>
    <cs:lnRef idx="0">
      <cs:styleClr val="0"/>
    </cs:lnRef>
    <cs:fillRef idx="0"/>
    <cs:effectRef idx="0"/>
    <cs:fontRef idx="minor">
      <a:schemeClr val="dk1"/>
    </cs:fontRef>
    <cs:spPr>
      <a:ln>
        <a:solidFill>
          <a:schemeClr val="lt1">
            <a:alpha val="10000"/>
          </a:schemeClr>
        </a:solidFill>
      </a:ln>
    </cs:spPr>
  </cs:gridlineMinor>
  <cs:hiLoLine>
    <cs:lnRef idx="0">
      <cs:styleClr val="0"/>
    </cs:lnRef>
    <cs:fillRef idx="0"/>
    <cs:effectRef idx="0"/>
    <cs:fontRef idx="minor">
      <a:schemeClr val="dk1"/>
    </cs:fontRef>
    <cs:spPr>
      <a:ln w="9525">
        <a:solidFill>
          <a:schemeClr val="phClr">
            <a:lumMod val="60000"/>
            <a:lumOff val="40000"/>
          </a:schemeClr>
        </a:solidFill>
        <a:prstDash val="dash"/>
      </a:ln>
    </cs:spPr>
  </cs:hiLoLine>
  <cs:leaderLine>
    <cs:lnRef idx="0">
      <cs:styleClr val="0"/>
    </cs:lnRef>
    <cs:fillRef idx="0"/>
    <cs:effectRef idx="0"/>
    <cs:fontRef idx="minor">
      <a:schemeClr val="dk1"/>
    </cs:fontRef>
    <cs:spPr>
      <a:ln w="9525">
        <a:solidFill>
          <a:schemeClr val="phClr">
            <a:lumMod val="60000"/>
            <a:lumOff val="40000"/>
          </a:schemeClr>
        </a:solidFill>
      </a:ln>
    </cs:spPr>
  </cs:leaderLine>
  <cs:legend>
    <cs:lnRef idx="0"/>
    <cs:fillRef idx="0"/>
    <cs:effectRef idx="0"/>
    <cs:fontRef idx="minor">
      <a:schemeClr val="lt1"/>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styleClr val="0"/>
    </cs:lnRef>
    <cs:fillRef idx="0"/>
    <cs:effectRef idx="0"/>
    <cs:fontRef idx="minor">
      <a:schemeClr val="lt1"/>
    </cs:fontRef>
    <cs:spPr>
      <a:ln w="3175" cap="flat" cmpd="sng" algn="ctr">
        <a:solidFill>
          <a:schemeClr val="phClr">
            <a:lumMod val="60000"/>
            <a:lumOff val="40000"/>
          </a:schemeClr>
        </a:solidFill>
        <a:round/>
      </a:ln>
    </cs:spPr>
    <cs:defRPr sz="900" kern="1200"/>
  </cs:seriesAxis>
  <cs:seriesLine>
    <cs:lnRef idx="0">
      <cs:styleClr val="0"/>
    </cs:lnRef>
    <cs:fillRef idx="0"/>
    <cs:effectRef idx="0"/>
    <cs:fontRef idx="minor">
      <a:schemeClr val="dk1"/>
    </cs:fontRef>
    <cs:spPr>
      <a:ln w="9525">
        <a:solidFill>
          <a:schemeClr val="phClr">
            <a:lumMod val="60000"/>
            <a:lumOff val="40000"/>
            <a:tint val="50000"/>
          </a:schemeClr>
        </a:solidFill>
        <a:prstDash val="dash"/>
      </a:ln>
    </cs:spPr>
  </cs:seriesLine>
  <cs:title>
    <cs:lnRef idx="0"/>
    <cs:fillRef idx="0"/>
    <cs:effectRef idx="0"/>
    <cs:fontRef idx="minor">
      <a:schemeClr val="lt1"/>
    </cs:fontRef>
    <cs:defRPr sz="1500" b="1" kern="1200" cap="all" spc="100" normalizeH="0" baseline="0"/>
  </cs:title>
  <cs:trendline>
    <cs:lnRef idx="0"/>
    <cs:fillRef idx="0"/>
    <cs:effectRef idx="0"/>
    <cs:fontRef idx="minor">
      <a:schemeClr val="dk1"/>
    </cs:fontRef>
    <cs:spPr>
      <a:ln w="28575" cap="rnd">
        <a:solidFill>
          <a:schemeClr val="lt1">
            <a:alpha val="50000"/>
          </a:schemeClr>
        </a:solidFill>
        <a:round/>
      </a:ln>
    </cs:spPr>
  </cs:trendline>
  <cs:trendlineLabel>
    <cs:lnRef idx="0"/>
    <cs:fillRef idx="0"/>
    <cs:effectRef idx="0"/>
    <cs:fontRef idx="minor">
      <a:schemeClr val="lt1"/>
    </cs:fontRef>
    <cs:defRPr sz="900" kern="1200"/>
  </cs:trendlineLabel>
  <cs:upBar>
    <cs:lnRef idx="0">
      <cs:styleClr val="0"/>
    </cs:lnRef>
    <cs:fillRef idx="0"/>
    <cs:effectRef idx="0"/>
    <cs:fontRef idx="minor">
      <a:schemeClr val="dk1"/>
    </cs:fontRef>
    <cs:spPr>
      <a:solidFill>
        <a:schemeClr val="lt1">
          <a:lumMod val="95000"/>
        </a:schemeClr>
      </a:solidFill>
      <a:ln w="9525">
        <a:solidFill>
          <a:schemeClr val="phClr">
            <a:lumMod val="60000"/>
            <a:lumOff val="40000"/>
          </a:schemeClr>
        </a:solidFill>
      </a:ln>
    </cs:spPr>
  </cs:upBar>
  <cs:valueAxis>
    <cs:lnRef idx="0"/>
    <cs:fillRef idx="0"/>
    <cs:effectRef idx="0"/>
    <cs:fontRef idx="minor">
      <a:schemeClr val="lt1"/>
    </cs:fontRef>
    <cs:defRPr sz="900" kern="1200"/>
  </cs:valueAxis>
  <cs:wall>
    <cs:lnRef idx="0"/>
    <cs:fillRef idx="0"/>
    <cs:effectRef idx="0"/>
    <cs:fontRef idx="minor">
      <a:schemeClr val="dk1"/>
    </cs:fontRef>
  </cs:wall>
</cs:chartStyle>
</file>

<file path=xl/charts/style29.xml><?xml version="1.0" encoding="utf-8"?>
<cs:chartStyle xmlns:cs="http://schemas.microsoft.com/office/drawing/2012/chartStyle" xmlns:a="http://schemas.openxmlformats.org/drawingml/2006/main" id="260">
  <cs:axisTitle>
    <cs:lnRef idx="0"/>
    <cs:fillRef idx="0"/>
    <cs:effectRef idx="0"/>
    <cs:fontRef idx="minor">
      <a:schemeClr val="lt1"/>
    </cs:fontRef>
    <cs:defRPr sz="900" b="1" kern="1200"/>
  </cs:axisTitle>
  <cs:categoryAxis>
    <cs:lnRef idx="0">
      <cs:styleClr val="0"/>
    </cs:lnRef>
    <cs:fillRef idx="0"/>
    <cs:effectRef idx="0"/>
    <cs:fontRef idx="minor">
      <a:schemeClr val="lt1"/>
    </cs:fontRef>
    <cs:spPr>
      <a:ln w="3175" cap="flat" cmpd="sng" algn="ctr">
        <a:solidFill>
          <a:schemeClr val="phClr">
            <a:lumMod val="60000"/>
            <a:lumOff val="40000"/>
          </a:schemeClr>
        </a:solidFill>
        <a:round/>
      </a:ln>
    </cs:spPr>
    <cs:defRPr sz="800" kern="1200" cap="all" spc="150" normalizeH="0" baseline="0"/>
  </cs:categoryAxis>
  <cs:chartArea>
    <cs:lnRef idx="0">
      <cs:styleClr val="0"/>
    </cs:lnRef>
    <cs:fillRef idx="0">
      <cs:styleClr val="0"/>
    </cs:fillRef>
    <cs:effectRef idx="0"/>
    <cs:fontRef idx="minor">
      <a:schemeClr val="dk1"/>
    </cs:fontRef>
    <cs:spPr>
      <a:solidFill>
        <a:schemeClr val="phClr"/>
      </a:solidFill>
      <a:ln w="9525" cap="flat" cmpd="sng" algn="ctr">
        <a:solidFill>
          <a:schemeClr val="phClr"/>
        </a:solidFill>
        <a:round/>
      </a:ln>
    </cs:spPr>
    <cs:defRPr sz="1000" kern="1200"/>
  </cs:chartArea>
  <cs:dataLabel>
    <cs:lnRef idx="0">
      <cs:styleClr val="0"/>
    </cs:lnRef>
    <cs:fillRef idx="0"/>
    <cs:effectRef idx="0"/>
    <cs:fontRef idx="minor">
      <cs:styleClr val="0"/>
    </cs:fontRef>
    <cs:defRPr sz="900" b="1" kern="1200"/>
  </cs:dataLabel>
  <cs:dataLabelCallout>
    <cs:lnRef idx="0">
      <cs:styleClr val="0"/>
    </cs:lnRef>
    <cs:fillRef idx="0"/>
    <cs:effectRef idx="0"/>
    <cs:fontRef idx="minor">
      <cs:styleClr val="0"/>
    </cs:fontRef>
    <cs:spPr>
      <a:solidFill>
        <a:schemeClr val="lt1"/>
      </a:solidFill>
      <a:ln>
        <a:solidFill>
          <a:schemeClr val="phClr"/>
        </a:solidFill>
      </a:ln>
    </cs:spPr>
    <cs:defRPr sz="900" b="1" kern="1200"/>
    <cs:bodyPr rot="0" spcFirstLastPara="1" vertOverflow="clip" horzOverflow="clip" vert="horz" wrap="square" lIns="36576" tIns="18288" rIns="36576" bIns="18288" anchor="ctr" anchorCtr="1">
      <a:spAutoFit/>
    </cs:bodyPr>
  </cs:dataLabelCallout>
  <cs:dataPoint>
    <cs:lnRef idx="0">
      <cs:styleClr val="0"/>
    </cs:lnRef>
    <cs:fillRef idx="0"/>
    <cs:effectRef idx="0"/>
    <cs:fontRef idx="minor">
      <a:schemeClr val="dk1"/>
    </cs:fontRef>
    <cs:spPr>
      <a:solidFill>
        <a:schemeClr val="lt1"/>
      </a:solidFill>
      <a:ln w="19050">
        <a:solidFill>
          <a:schemeClr val="phClr"/>
        </a:solidFill>
      </a:ln>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styleClr val="auto"/>
    </cs:effectRef>
    <cs:fontRef idx="minor">
      <a:schemeClr val="dk1"/>
    </cs:fontRef>
    <cs:spPr>
      <a:ln w="34925" cap="rnd">
        <a:solidFill>
          <a:schemeClr val="lt1"/>
        </a:solidFill>
        <a:round/>
      </a:ln>
      <a:effectLst>
        <a:outerShdw dist="25400" dir="2700000" algn="tl" rotWithShape="0">
          <a:schemeClr val="phClr"/>
        </a:outerShdw>
      </a:effectLst>
    </cs:spPr>
  </cs:dataPointLine>
  <cs:dataPointMarker>
    <cs:lnRef idx="0"/>
    <cs:fillRef idx="0">
      <cs:styleClr val="auto"/>
    </cs:fillRef>
    <cs:effectRef idx="0"/>
    <cs:fontRef idx="minor">
      <a:schemeClr val="dk1"/>
    </cs:fontRef>
    <cs:spPr>
      <a:solidFill>
        <a:schemeClr val="phClr"/>
      </a:solidFill>
      <a:ln w="22225">
        <a:solidFill>
          <a:schemeClr val="lt1"/>
        </a:solidFill>
        <a:round/>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styleClr val="0"/>
    </cs:lnRef>
    <cs:fillRef idx="0"/>
    <cs:effectRef idx="0"/>
    <cs:fontRef idx="minor">
      <a:schemeClr val="lt1"/>
    </cs:fontRef>
    <cs:spPr>
      <a:ln w="9525">
        <a:solidFill>
          <a:schemeClr val="phClr">
            <a:lumMod val="60000"/>
            <a:lumOff val="40000"/>
          </a:schemeClr>
        </a:solidFill>
      </a:ln>
    </cs:spPr>
    <cs:defRPr sz="900" kern="1200"/>
  </cs:dataTable>
  <cs:downBar>
    <cs:lnRef idx="0">
      <cs:styleClr val="0"/>
    </cs:lnRef>
    <cs:fillRef idx="0"/>
    <cs:effectRef idx="0"/>
    <cs:fontRef idx="minor">
      <a:schemeClr val="dk1"/>
    </cs:fontRef>
    <cs:spPr>
      <a:solidFill>
        <a:schemeClr val="dk1">
          <a:lumMod val="35000"/>
          <a:lumOff val="65000"/>
        </a:schemeClr>
      </a:solidFill>
      <a:ln w="9525">
        <a:solidFill>
          <a:schemeClr val="phClr">
            <a:lumMod val="60000"/>
            <a:lumOff val="40000"/>
          </a:schemeClr>
        </a:solidFill>
      </a:ln>
    </cs:spPr>
  </cs:downBar>
  <cs:dropLine>
    <cs:lnRef idx="0">
      <cs:styleClr val="0"/>
    </cs:lnRef>
    <cs:fillRef idx="0"/>
    <cs:effectRef idx="0"/>
    <cs:fontRef idx="minor">
      <a:schemeClr val="dk1"/>
    </cs:fontRef>
    <cs:spPr>
      <a:ln w="9525">
        <a:solidFill>
          <a:schemeClr val="phClr">
            <a:lumMod val="60000"/>
            <a:lumOff val="40000"/>
          </a:schemeClr>
        </a:solidFill>
        <a:prstDash val="dash"/>
      </a:ln>
    </cs:spPr>
  </cs:dropLine>
  <cs:errorBar>
    <cs:lnRef idx="0">
      <cs:styleClr val="0"/>
    </cs:lnRef>
    <cs:fillRef idx="0"/>
    <cs:effectRef idx="0"/>
    <cs:fontRef idx="minor">
      <a:schemeClr val="dk1"/>
    </cs:fontRef>
    <cs:spPr>
      <a:ln w="9525">
        <a:solidFill>
          <a:schemeClr val="phClr">
            <a:lumMod val="60000"/>
            <a:lumOff val="40000"/>
          </a:schemeClr>
        </a:solidFill>
        <a:round/>
      </a:ln>
      <a:effectLst>
        <a:glow rad="25400">
          <a:schemeClr val="lt1"/>
        </a:glow>
      </a:effectLst>
    </cs:spPr>
  </cs:errorBar>
  <cs:floor>
    <cs:lnRef idx="0"/>
    <cs:fillRef idx="0"/>
    <cs:effectRef idx="0"/>
    <cs:fontRef idx="minor">
      <a:schemeClr val="dk1"/>
    </cs:fontRef>
  </cs:floor>
  <cs:gridlineMajor>
    <cs:lnRef idx="0">
      <cs:styleClr val="0"/>
    </cs:lnRef>
    <cs:fillRef idx="0"/>
    <cs:effectRef idx="0"/>
    <cs:fontRef idx="minor">
      <a:schemeClr val="dk1"/>
    </cs:fontRef>
    <cs:spPr>
      <a:ln w="9525" cap="flat" cmpd="sng" algn="ctr">
        <a:solidFill>
          <a:schemeClr val="lt1">
            <a:alpha val="25000"/>
          </a:schemeClr>
        </a:solidFill>
        <a:round/>
      </a:ln>
    </cs:spPr>
  </cs:gridlineMajor>
  <cs:gridlineMinor>
    <cs:lnRef idx="0">
      <cs:styleClr val="0"/>
    </cs:lnRef>
    <cs:fillRef idx="0"/>
    <cs:effectRef idx="0"/>
    <cs:fontRef idx="minor">
      <a:schemeClr val="dk1"/>
    </cs:fontRef>
    <cs:spPr>
      <a:ln>
        <a:solidFill>
          <a:schemeClr val="lt1">
            <a:alpha val="10000"/>
          </a:schemeClr>
        </a:solidFill>
      </a:ln>
    </cs:spPr>
  </cs:gridlineMinor>
  <cs:hiLoLine>
    <cs:lnRef idx="0">
      <cs:styleClr val="0"/>
    </cs:lnRef>
    <cs:fillRef idx="0"/>
    <cs:effectRef idx="0"/>
    <cs:fontRef idx="minor">
      <a:schemeClr val="dk1"/>
    </cs:fontRef>
    <cs:spPr>
      <a:ln w="9525">
        <a:solidFill>
          <a:schemeClr val="phClr">
            <a:lumMod val="60000"/>
            <a:lumOff val="40000"/>
          </a:schemeClr>
        </a:solidFill>
        <a:prstDash val="dash"/>
      </a:ln>
    </cs:spPr>
  </cs:hiLoLine>
  <cs:leaderLine>
    <cs:lnRef idx="0">
      <cs:styleClr val="0"/>
    </cs:lnRef>
    <cs:fillRef idx="0"/>
    <cs:effectRef idx="0"/>
    <cs:fontRef idx="minor">
      <a:schemeClr val="dk1"/>
    </cs:fontRef>
    <cs:spPr>
      <a:ln w="9525">
        <a:solidFill>
          <a:schemeClr val="phClr">
            <a:lumMod val="60000"/>
            <a:lumOff val="40000"/>
          </a:schemeClr>
        </a:solidFill>
      </a:ln>
    </cs:spPr>
  </cs:leaderLine>
  <cs:legend>
    <cs:lnRef idx="0"/>
    <cs:fillRef idx="0"/>
    <cs:effectRef idx="0"/>
    <cs:fontRef idx="minor">
      <a:schemeClr val="lt1"/>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styleClr val="0"/>
    </cs:lnRef>
    <cs:fillRef idx="0"/>
    <cs:effectRef idx="0"/>
    <cs:fontRef idx="minor">
      <a:schemeClr val="lt1"/>
    </cs:fontRef>
    <cs:spPr>
      <a:ln w="3175" cap="flat" cmpd="sng" algn="ctr">
        <a:solidFill>
          <a:schemeClr val="phClr">
            <a:lumMod val="60000"/>
            <a:lumOff val="40000"/>
          </a:schemeClr>
        </a:solidFill>
        <a:round/>
      </a:ln>
    </cs:spPr>
    <cs:defRPr sz="900" kern="1200"/>
  </cs:seriesAxis>
  <cs:seriesLine>
    <cs:lnRef idx="0">
      <cs:styleClr val="0"/>
    </cs:lnRef>
    <cs:fillRef idx="0"/>
    <cs:effectRef idx="0"/>
    <cs:fontRef idx="minor">
      <a:schemeClr val="dk1"/>
    </cs:fontRef>
    <cs:spPr>
      <a:ln w="9525">
        <a:solidFill>
          <a:schemeClr val="phClr">
            <a:lumMod val="60000"/>
            <a:lumOff val="40000"/>
            <a:tint val="50000"/>
          </a:schemeClr>
        </a:solidFill>
        <a:prstDash val="dash"/>
      </a:ln>
    </cs:spPr>
  </cs:seriesLine>
  <cs:title>
    <cs:lnRef idx="0"/>
    <cs:fillRef idx="0"/>
    <cs:effectRef idx="0"/>
    <cs:fontRef idx="minor">
      <a:schemeClr val="lt1"/>
    </cs:fontRef>
    <cs:defRPr sz="1500" b="1" kern="1200" cap="all" spc="100" normalizeH="0" baseline="0"/>
  </cs:title>
  <cs:trendline>
    <cs:lnRef idx="0"/>
    <cs:fillRef idx="0"/>
    <cs:effectRef idx="0"/>
    <cs:fontRef idx="minor">
      <a:schemeClr val="dk1"/>
    </cs:fontRef>
    <cs:spPr>
      <a:ln w="28575" cap="rnd">
        <a:solidFill>
          <a:schemeClr val="lt1">
            <a:alpha val="50000"/>
          </a:schemeClr>
        </a:solidFill>
        <a:round/>
      </a:ln>
    </cs:spPr>
  </cs:trendline>
  <cs:trendlineLabel>
    <cs:lnRef idx="0"/>
    <cs:fillRef idx="0"/>
    <cs:effectRef idx="0"/>
    <cs:fontRef idx="minor">
      <a:schemeClr val="lt1"/>
    </cs:fontRef>
    <cs:defRPr sz="900" kern="1200"/>
  </cs:trendlineLabel>
  <cs:upBar>
    <cs:lnRef idx="0">
      <cs:styleClr val="0"/>
    </cs:lnRef>
    <cs:fillRef idx="0"/>
    <cs:effectRef idx="0"/>
    <cs:fontRef idx="minor">
      <a:schemeClr val="dk1"/>
    </cs:fontRef>
    <cs:spPr>
      <a:solidFill>
        <a:schemeClr val="lt1">
          <a:lumMod val="95000"/>
        </a:schemeClr>
      </a:solidFill>
      <a:ln w="9525">
        <a:solidFill>
          <a:schemeClr val="phClr">
            <a:lumMod val="60000"/>
            <a:lumOff val="40000"/>
          </a:schemeClr>
        </a:solidFill>
      </a:ln>
    </cs:spPr>
  </cs:upBar>
  <cs:valueAxis>
    <cs:lnRef idx="0"/>
    <cs:fillRef idx="0"/>
    <cs:effectRef idx="0"/>
    <cs:fontRef idx="minor">
      <a:schemeClr val="lt1"/>
    </cs:fontRef>
    <cs:defRPr sz="900" kern="1200"/>
  </cs:valueAxis>
  <cs:wall>
    <cs:lnRef idx="0"/>
    <cs:fillRef idx="0"/>
    <cs:effectRef idx="0"/>
    <cs:fontRef idx="minor">
      <a:schemeClr val="dk1"/>
    </cs:fontRef>
  </cs:wall>
</cs:chartStyle>
</file>

<file path=xl/charts/style3.xml><?xml version="1.0" encoding="utf-8"?>
<cs:chartStyle xmlns:cs="http://schemas.microsoft.com/office/drawing/2012/chartStyle" xmlns:a="http://schemas.openxmlformats.org/drawingml/2006/main" id="253">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dataLabel>
  <cs:dataLabelCallout>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List" dx="21" fmlaLink="$G$36" fmlaRange="$O$24:$O$27" noThreeD="1" sel="3" val="0"/>
</file>

<file path=xl/ctrlProps/ctrlProp10.xml><?xml version="1.0" encoding="utf-8"?>
<formControlPr xmlns="http://schemas.microsoft.com/office/spreadsheetml/2009/9/main" objectType="Drop" dropStyle="combo" dx="20" fmlaLink="FOCUSYEAR.no" fmlaRange="FOCUSYEAR.choices" noThreeD="1" sel="12" val="0"/>
</file>

<file path=xl/ctrlProps/ctrlProp11.xml><?xml version="1.0" encoding="utf-8"?>
<formControlPr xmlns="http://schemas.microsoft.com/office/spreadsheetml/2009/9/main" objectType="Drop" dropLines="2" dropStyle="combo" dx="20" fmlaLink="INDEX.no" fmlaRange="REP.YN" noThreeD="1" sel="1" val="0"/>
</file>

<file path=xl/ctrlProps/ctrlProp12.xml><?xml version="1.0" encoding="utf-8"?>
<formControlPr xmlns="http://schemas.microsoft.com/office/spreadsheetml/2009/9/main" objectType="Drop" dropStyle="combo" dx="20" fmlaLink="TYPE.no" fmlaRange="TYPE.choices" noThreeD="1" sel="1" val="0"/>
</file>

<file path=xl/ctrlProps/ctrlProp13.xml><?xml version="1.0" encoding="utf-8"?>
<formControlPr xmlns="http://schemas.microsoft.com/office/spreadsheetml/2009/9/main" objectType="Drop" dropStyle="combo" dx="20" fmlaLink="rep.percenthighlightno" fmlaRange="rep.percenthighlightchoices" noThreeD="1" sel="1" val="0"/>
</file>

<file path=xl/ctrlProps/ctrlProp14.xml><?xml version="1.0" encoding="utf-8"?>
<formControlPr xmlns="http://schemas.microsoft.com/office/spreadsheetml/2009/9/main" objectType="Drop" dropLines="2" dropStyle="combo" dx="20" fmlaLink="INDEX.no" fmlaRange="REP.YN" noThreeD="1" sel="1" val="0"/>
</file>

<file path=xl/ctrlProps/ctrlProp15.xml><?xml version="1.0" encoding="utf-8"?>
<formControlPr xmlns="http://schemas.microsoft.com/office/spreadsheetml/2009/9/main" objectType="Drop" dropStyle="combo" dx="20" fmlaLink="CHARTYEAR.no" fmlaRange="FOCUSYEAR.choices" noThreeD="1" sel="12" val="0"/>
</file>

<file path=xl/ctrlProps/ctrlProp16.xml><?xml version="1.0" encoding="utf-8"?>
<formControlPr xmlns="http://schemas.microsoft.com/office/spreadsheetml/2009/9/main" objectType="Drop" dropLines="2" dropStyle="combo" dx="20" fmlaLink="INDEX.no" fmlaRange="REP.YN" noThreeD="1" sel="1" val="0"/>
</file>

<file path=xl/ctrlProps/ctrlProp17.xml><?xml version="1.0" encoding="utf-8"?>
<formControlPr xmlns="http://schemas.microsoft.com/office/spreadsheetml/2009/9/main" objectType="Drop" dropStyle="combo" dx="20" fmlaLink="CHARTYEAR.no" fmlaRange="FOCUSYEAR.choices" noThreeD="1" sel="12" val="0"/>
</file>

<file path=xl/ctrlProps/ctrlProp18.xml><?xml version="1.0" encoding="utf-8"?>
<formControlPr xmlns="http://schemas.microsoft.com/office/spreadsheetml/2009/9/main" objectType="Drop" dropStyle="combo" dx="20" fmlaLink="rep.percenthighlightno" fmlaRange="rep.percenthighlightchoices" noThreeD="1" sel="1" val="0"/>
</file>

<file path=xl/ctrlProps/ctrlProp19.xml><?xml version="1.0" encoding="utf-8"?>
<formControlPr xmlns="http://schemas.microsoft.com/office/spreadsheetml/2009/9/main" objectType="Drop" dropLines="2" dropStyle="combo" dx="20" fmlaLink="INDEX.no" fmlaRange="REP.YN" noThreeD="1" sel="1" val="0"/>
</file>

<file path=xl/ctrlProps/ctrlProp2.xml><?xml version="1.0" encoding="utf-8"?>
<formControlPr xmlns="http://schemas.microsoft.com/office/spreadsheetml/2009/9/main" objectType="Drop" dropStyle="combo" dx="20" fmlaLink="rep.percenthighlightno" fmlaRange="rep.percenthighlightchoices" noThreeD="1" sel="1" val="0"/>
</file>

<file path=xl/ctrlProps/ctrlProp20.xml><?xml version="1.0" encoding="utf-8"?>
<formControlPr xmlns="http://schemas.microsoft.com/office/spreadsheetml/2009/9/main" objectType="Drop" dropStyle="combo" dx="20" fmlaLink="TYPE.no" fmlaRange="TYPE.choices" noThreeD="1" sel="1" val="0"/>
</file>

<file path=xl/ctrlProps/ctrlProp21.xml><?xml version="1.0" encoding="utf-8"?>
<formControlPr xmlns="http://schemas.microsoft.com/office/spreadsheetml/2009/9/main" objectType="Drop" dropStyle="combo" dx="20" fmlaLink="rep.percenthighlightno" fmlaRange="rep.percenthighlightchoices" noThreeD="1" sel="1" val="0"/>
</file>

<file path=xl/ctrlProps/ctrlProp22.xml><?xml version="1.0" encoding="utf-8"?>
<formControlPr xmlns="http://schemas.microsoft.com/office/spreadsheetml/2009/9/main" objectType="Drop" dropStyle="combo" dx="20" fmlaLink="TYPE.no" fmlaRange="TYPE.choices" noThreeD="1" sel="1" val="0"/>
</file>

<file path=xl/ctrlProps/ctrlProp23.xml><?xml version="1.0" encoding="utf-8"?>
<formControlPr xmlns="http://schemas.microsoft.com/office/spreadsheetml/2009/9/main" objectType="Drop" dropStyle="combo" dx="20" fmlaLink="rep.percenthighlightno" fmlaRange="rep.percenthighlightchoices" noThreeD="1" sel="1" val="0"/>
</file>

<file path=xl/ctrlProps/ctrlProp24.xml><?xml version="1.0" encoding="utf-8"?>
<formControlPr xmlns="http://schemas.microsoft.com/office/spreadsheetml/2009/9/main" objectType="Drop" dropStyle="combo" dx="20" fmlaLink="TYPE.no" fmlaRange="TYPE.choices" noThreeD="1" sel="1" val="0"/>
</file>

<file path=xl/ctrlProps/ctrlProp25.xml><?xml version="1.0" encoding="utf-8"?>
<formControlPr xmlns="http://schemas.microsoft.com/office/spreadsheetml/2009/9/main" objectType="Drop" dropStyle="combo" dx="20" fmlaLink="rep.percenthighlightno" fmlaRange="rep.percenthighlightchoices" noThreeD="1" sel="1" val="0"/>
</file>

<file path=xl/ctrlProps/ctrlProp26.xml><?xml version="1.0" encoding="utf-8"?>
<formControlPr xmlns="http://schemas.microsoft.com/office/spreadsheetml/2009/9/main" objectType="Drop" dropStyle="combo" dx="20" fmlaLink="TYPE.no" fmlaRange="TYPE.choices" noThreeD="1" sel="1" val="0"/>
</file>

<file path=xl/ctrlProps/ctrlProp27.xml><?xml version="1.0" encoding="utf-8"?>
<formControlPr xmlns="http://schemas.microsoft.com/office/spreadsheetml/2009/9/main" objectType="Drop" dropLines="2" dropStyle="combo" dx="20" fmlaLink="INDEX.no" fmlaRange="REP.YN" noThreeD="1" sel="1" val="0"/>
</file>

<file path=xl/ctrlProps/ctrlProp28.xml><?xml version="1.0" encoding="utf-8"?>
<formControlPr xmlns="http://schemas.microsoft.com/office/spreadsheetml/2009/9/main" objectType="Drop" dropStyle="combo" dx="20" fmlaLink="CHARTYEAR.no" fmlaRange="FOCUSYEAR.choices" noThreeD="1" sel="12" val="0"/>
</file>

<file path=xl/ctrlProps/ctrlProp29.xml><?xml version="1.0" encoding="utf-8"?>
<formControlPr xmlns="http://schemas.microsoft.com/office/spreadsheetml/2009/9/main" objectType="Drop" dropStyle="combo" dx="20" fmlaLink="rep.percenthighlightno" fmlaRange="rep.percenthighlightchoices" noThreeD="1" sel="1" val="0"/>
</file>

<file path=xl/ctrlProps/ctrlProp3.xml><?xml version="1.0" encoding="utf-8"?>
<formControlPr xmlns="http://schemas.microsoft.com/office/spreadsheetml/2009/9/main" objectType="Drop" dropStyle="combo" dx="20" fmlaLink="COMPARISONYEAR.no" fmlaRange="CHART.choices" noThreeD="1" sel="11" val="0"/>
</file>

<file path=xl/ctrlProps/ctrlProp30.xml><?xml version="1.0" encoding="utf-8"?>
<formControlPr xmlns="http://schemas.microsoft.com/office/spreadsheetml/2009/9/main" objectType="Drop" dropLines="2" dropStyle="combo" dx="20" fmlaLink="INDEX.no" fmlaRange="REP.YN" noThreeD="1" sel="1" val="0"/>
</file>

<file path=xl/ctrlProps/ctrlProp31.xml><?xml version="1.0" encoding="utf-8"?>
<formControlPr xmlns="http://schemas.microsoft.com/office/spreadsheetml/2009/9/main" objectType="Drop" dropStyle="combo" dx="20" fmlaLink="CHARTYEAR.no" fmlaRange="FOCUSYEAR.choices" noThreeD="1" sel="12" val="0"/>
</file>

<file path=xl/ctrlProps/ctrlProp4.xml><?xml version="1.0" encoding="utf-8"?>
<formControlPr xmlns="http://schemas.microsoft.com/office/spreadsheetml/2009/9/main" objectType="Drop" dropLines="2" dropStyle="combo" dx="20" fmlaLink="INDEX.no" fmlaRange="REP.YN" noThreeD="1" sel="1" val="0"/>
</file>

<file path=xl/ctrlProps/ctrlProp5.xml><?xml version="1.0" encoding="utf-8"?>
<formControlPr xmlns="http://schemas.microsoft.com/office/spreadsheetml/2009/9/main" objectType="Drop" dropStyle="combo" dx="20" fmlaLink="FOCUSYEAR.no" fmlaRange="REP.yearsrange" noThreeD="1" sel="12" val="0"/>
</file>

<file path=xl/ctrlProps/ctrlProp6.xml><?xml version="1.0" encoding="utf-8"?>
<formControlPr xmlns="http://schemas.microsoft.com/office/spreadsheetml/2009/9/main" objectType="Drop" dropStyle="combo" dx="20" fmlaLink="TYPE.no" fmlaRange="TYPE.choices" noThreeD="1" sel="1" val="0"/>
</file>

<file path=xl/ctrlProps/ctrlProp7.xml><?xml version="1.0" encoding="utf-8"?>
<formControlPr xmlns="http://schemas.microsoft.com/office/spreadsheetml/2009/9/main" objectType="Drop" dropStyle="combo" dx="20" fmlaLink="rep.percenthighlightno" fmlaRange="rep.percenthighlightchoices" noThreeD="1" sel="1" val="0"/>
</file>

<file path=xl/ctrlProps/ctrlProp8.xml><?xml version="1.0" encoding="utf-8"?>
<formControlPr xmlns="http://schemas.microsoft.com/office/spreadsheetml/2009/9/main" objectType="Drop" dropStyle="combo" dx="20" fmlaLink="COMPARISONYEAR.no" fmlaRange="CHART.choices" noThreeD="1" sel="11" val="4"/>
</file>

<file path=xl/ctrlProps/ctrlProp9.xml><?xml version="1.0" encoding="utf-8"?>
<formControlPr xmlns="http://schemas.microsoft.com/office/spreadsheetml/2009/9/main" objectType="Drop" dropLines="2" dropStyle="combo" dx="20" fmlaLink="INDEX.no" fmlaRange="REP.YN" noThreeD="1" sel="1" val="0"/>
</file>

<file path=xl/drawings/_rels/drawing10.xml.rels><?xml version="1.0" encoding="UTF-8" standalone="yes"?>
<Relationships xmlns="http://schemas.openxmlformats.org/package/2006/relationships"><Relationship Id="rId3" Type="http://schemas.openxmlformats.org/officeDocument/2006/relationships/image" Target="../media/image2.WMF"/><Relationship Id="rId2" Type="http://schemas.openxmlformats.org/officeDocument/2006/relationships/hyperlink" Target="#HOME!E6"/><Relationship Id="rId1" Type="http://schemas.openxmlformats.org/officeDocument/2006/relationships/image" Target="../media/image1.jpeg"/><Relationship Id="rId4" Type="http://schemas.openxmlformats.org/officeDocument/2006/relationships/chart" Target="../charts/chart26.xml"/></Relationships>
</file>

<file path=xl/drawings/_rels/drawing11.xml.rels><?xml version="1.0" encoding="UTF-8" standalone="yes"?>
<Relationships xmlns="http://schemas.openxmlformats.org/package/2006/relationships"><Relationship Id="rId3" Type="http://schemas.openxmlformats.org/officeDocument/2006/relationships/image" Target="../media/image2.WMF"/><Relationship Id="rId2" Type="http://schemas.openxmlformats.org/officeDocument/2006/relationships/hyperlink" Target="#HOME!E6"/><Relationship Id="rId1" Type="http://schemas.openxmlformats.org/officeDocument/2006/relationships/image" Target="../media/image1.jpeg"/><Relationship Id="rId4" Type="http://schemas.openxmlformats.org/officeDocument/2006/relationships/chart" Target="../charts/chart27.xml"/></Relationships>
</file>

<file path=xl/drawings/_rels/drawing12.xml.rels><?xml version="1.0" encoding="UTF-8" standalone="yes"?>
<Relationships xmlns="http://schemas.openxmlformats.org/package/2006/relationships"><Relationship Id="rId3" Type="http://schemas.openxmlformats.org/officeDocument/2006/relationships/image" Target="../media/image2.WMF"/><Relationship Id="rId2" Type="http://schemas.openxmlformats.org/officeDocument/2006/relationships/hyperlink" Target="#HOME!E6"/><Relationship Id="rId1" Type="http://schemas.openxmlformats.org/officeDocument/2006/relationships/image" Target="../media/image1.jpeg"/><Relationship Id="rId4" Type="http://schemas.openxmlformats.org/officeDocument/2006/relationships/chart" Target="../charts/chart28.xml"/></Relationships>
</file>

<file path=xl/drawings/_rels/drawing13.xml.rels><?xml version="1.0" encoding="UTF-8" standalone="yes"?>
<Relationships xmlns="http://schemas.openxmlformats.org/package/2006/relationships"><Relationship Id="rId3" Type="http://schemas.openxmlformats.org/officeDocument/2006/relationships/image" Target="../media/image2.WMF"/><Relationship Id="rId2" Type="http://schemas.openxmlformats.org/officeDocument/2006/relationships/hyperlink" Target="#HOME!E6"/><Relationship Id="rId1" Type="http://schemas.openxmlformats.org/officeDocument/2006/relationships/image" Target="../media/image1.jpeg"/><Relationship Id="rId4" Type="http://schemas.openxmlformats.org/officeDocument/2006/relationships/chart" Target="../charts/chart29.xml"/></Relationships>
</file>

<file path=xl/drawings/_rels/drawing14.xml.rels><?xml version="1.0" encoding="UTF-8" standalone="yes"?>
<Relationships xmlns="http://schemas.openxmlformats.org/package/2006/relationships"><Relationship Id="rId3" Type="http://schemas.openxmlformats.org/officeDocument/2006/relationships/image" Target="../media/image2.WMF"/><Relationship Id="rId2" Type="http://schemas.openxmlformats.org/officeDocument/2006/relationships/hyperlink" Target="#HOME!E6"/><Relationship Id="rId1" Type="http://schemas.openxmlformats.org/officeDocument/2006/relationships/image" Target="../media/image1.jpeg"/><Relationship Id="rId4" Type="http://schemas.openxmlformats.org/officeDocument/2006/relationships/chart" Target="../charts/chart30.xml"/></Relationships>
</file>

<file path=xl/drawings/_rels/drawing15.xml.rels><?xml version="1.0" encoding="UTF-8" standalone="yes"?>
<Relationships xmlns="http://schemas.openxmlformats.org/package/2006/relationships"><Relationship Id="rId3" Type="http://schemas.openxmlformats.org/officeDocument/2006/relationships/image" Target="../media/image2.WMF"/><Relationship Id="rId2" Type="http://schemas.openxmlformats.org/officeDocument/2006/relationships/hyperlink" Target="#HOME!E6"/><Relationship Id="rId1" Type="http://schemas.openxmlformats.org/officeDocument/2006/relationships/image" Target="../media/image1.jpeg"/><Relationship Id="rId5" Type="http://schemas.openxmlformats.org/officeDocument/2006/relationships/chart" Target="../charts/chart32.xml"/><Relationship Id="rId4" Type="http://schemas.openxmlformats.org/officeDocument/2006/relationships/chart" Target="../charts/chart31.xml"/></Relationships>
</file>

<file path=xl/drawings/_rels/drawing18.xml.rels><?xml version="1.0" encoding="UTF-8" standalone="yes"?>
<Relationships xmlns="http://schemas.openxmlformats.org/package/2006/relationships"><Relationship Id="rId3" Type="http://schemas.openxmlformats.org/officeDocument/2006/relationships/image" Target="../media/image2.WMF"/><Relationship Id="rId2" Type="http://schemas.openxmlformats.org/officeDocument/2006/relationships/hyperlink" Target="#HOME!E6"/><Relationship Id="rId1" Type="http://schemas.openxmlformats.org/officeDocument/2006/relationships/image" Target="../media/image1.jpeg"/><Relationship Id="rId4" Type="http://schemas.openxmlformats.org/officeDocument/2006/relationships/image" Target="../media/image60.jpg"/></Relationships>
</file>

<file path=xl/drawings/_rels/drawing19.xml.rels><?xml version="1.0" encoding="UTF-8" standalone="yes"?>
<Relationships xmlns="http://schemas.openxmlformats.org/package/2006/relationships"><Relationship Id="rId8" Type="http://schemas.openxmlformats.org/officeDocument/2006/relationships/image" Target="../media/image65.png"/><Relationship Id="rId13" Type="http://schemas.openxmlformats.org/officeDocument/2006/relationships/image" Target="../media/image70.emf"/><Relationship Id="rId18" Type="http://schemas.openxmlformats.org/officeDocument/2006/relationships/image" Target="../media/image75.png"/><Relationship Id="rId3" Type="http://schemas.openxmlformats.org/officeDocument/2006/relationships/image" Target="../media/image2.WMF"/><Relationship Id="rId7" Type="http://schemas.openxmlformats.org/officeDocument/2006/relationships/image" Target="../media/image64.emf"/><Relationship Id="rId12" Type="http://schemas.openxmlformats.org/officeDocument/2006/relationships/image" Target="../media/image69.emf"/><Relationship Id="rId17" Type="http://schemas.openxmlformats.org/officeDocument/2006/relationships/image" Target="../media/image74.jpg"/><Relationship Id="rId2" Type="http://schemas.openxmlformats.org/officeDocument/2006/relationships/hyperlink" Target="#HOME!E6"/><Relationship Id="rId16" Type="http://schemas.openxmlformats.org/officeDocument/2006/relationships/image" Target="../media/image73.emf"/><Relationship Id="rId1" Type="http://schemas.openxmlformats.org/officeDocument/2006/relationships/image" Target="../media/image1.jpeg"/><Relationship Id="rId6" Type="http://schemas.openxmlformats.org/officeDocument/2006/relationships/image" Target="../media/image63.emf"/><Relationship Id="rId11" Type="http://schemas.openxmlformats.org/officeDocument/2006/relationships/image" Target="../media/image68.png"/><Relationship Id="rId5" Type="http://schemas.openxmlformats.org/officeDocument/2006/relationships/image" Target="../media/image62.emf"/><Relationship Id="rId15" Type="http://schemas.openxmlformats.org/officeDocument/2006/relationships/image" Target="../media/image72.png"/><Relationship Id="rId10" Type="http://schemas.openxmlformats.org/officeDocument/2006/relationships/image" Target="../media/image67.emf"/><Relationship Id="rId4" Type="http://schemas.openxmlformats.org/officeDocument/2006/relationships/image" Target="../media/image61.emf"/><Relationship Id="rId9" Type="http://schemas.openxmlformats.org/officeDocument/2006/relationships/image" Target="../media/image66.emf"/><Relationship Id="rId14" Type="http://schemas.openxmlformats.org/officeDocument/2006/relationships/image" Target="../media/image71.emf"/></Relationships>
</file>

<file path=xl/drawings/_rels/drawing2.xml.rels><?xml version="1.0" encoding="UTF-8" standalone="yes"?>
<Relationships xmlns="http://schemas.openxmlformats.org/package/2006/relationships"><Relationship Id="rId3" Type="http://schemas.openxmlformats.org/officeDocument/2006/relationships/image" Target="../media/image2.WMF"/><Relationship Id="rId2" Type="http://schemas.openxmlformats.org/officeDocument/2006/relationships/hyperlink" Target="#HOME!E6"/><Relationship Id="rId1" Type="http://schemas.openxmlformats.org/officeDocument/2006/relationships/image" Target="../media/image1.jpeg"/></Relationships>
</file>

<file path=xl/drawings/_rels/drawing20.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hyperlink" Target="#HOME!E6"/></Relationships>
</file>

<file path=xl/drawings/_rels/drawing3.xml.rels><?xml version="1.0" encoding="UTF-8" standalone="yes"?>
<Relationships xmlns="http://schemas.openxmlformats.org/package/2006/relationships"><Relationship Id="rId3" Type="http://schemas.openxmlformats.org/officeDocument/2006/relationships/image" Target="../media/image2.WMF"/><Relationship Id="rId2" Type="http://schemas.openxmlformats.org/officeDocument/2006/relationships/hyperlink" Target="#HOME!E6"/><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3" Type="http://schemas.openxmlformats.org/officeDocument/2006/relationships/image" Target="../media/image7.emf"/><Relationship Id="rId18" Type="http://schemas.openxmlformats.org/officeDocument/2006/relationships/image" Target="../media/image10.png"/><Relationship Id="rId26" Type="http://schemas.openxmlformats.org/officeDocument/2006/relationships/hyperlink" Target="#'SECTORAL ANALYSIS'!E6"/><Relationship Id="rId3" Type="http://schemas.openxmlformats.org/officeDocument/2006/relationships/image" Target="../media/image2.WMF"/><Relationship Id="rId21" Type="http://schemas.openxmlformats.org/officeDocument/2006/relationships/hyperlink" Target="#COVER!E6"/><Relationship Id="rId34" Type="http://schemas.openxmlformats.org/officeDocument/2006/relationships/image" Target="../media/image18.emf"/><Relationship Id="rId7" Type="http://schemas.openxmlformats.org/officeDocument/2006/relationships/image" Target="../media/image4.emf"/><Relationship Id="rId12" Type="http://schemas.openxmlformats.org/officeDocument/2006/relationships/hyperlink" Target="#EMPLOYMENT!E6"/><Relationship Id="rId17" Type="http://schemas.openxmlformats.org/officeDocument/2006/relationships/hyperlink" Target="#'USER GUIDE'!E6"/><Relationship Id="rId25" Type="http://schemas.openxmlformats.org/officeDocument/2006/relationships/image" Target="../media/image13.png"/><Relationship Id="rId33" Type="http://schemas.openxmlformats.org/officeDocument/2006/relationships/hyperlink" Target="#'MONTHLY DISTRIBUTION'!E6"/><Relationship Id="rId2" Type="http://schemas.openxmlformats.org/officeDocument/2006/relationships/hyperlink" Target="#HOME!E6"/><Relationship Id="rId16" Type="http://schemas.openxmlformats.org/officeDocument/2006/relationships/image" Target="../media/image9.png"/><Relationship Id="rId20" Type="http://schemas.openxmlformats.org/officeDocument/2006/relationships/image" Target="../media/image11.wmf"/><Relationship Id="rId29" Type="http://schemas.openxmlformats.org/officeDocument/2006/relationships/image" Target="../media/image15.emf"/><Relationship Id="rId1" Type="http://schemas.openxmlformats.org/officeDocument/2006/relationships/image" Target="../media/image1.jpeg"/><Relationship Id="rId6" Type="http://schemas.openxmlformats.org/officeDocument/2006/relationships/hyperlink" Target="#'ECONOMIC IMPACT'!E6"/><Relationship Id="rId11" Type="http://schemas.openxmlformats.org/officeDocument/2006/relationships/image" Target="../media/image6.emf"/><Relationship Id="rId24" Type="http://schemas.openxmlformats.org/officeDocument/2006/relationships/image" Target="../media/image12.png"/><Relationship Id="rId32" Type="http://schemas.openxmlformats.org/officeDocument/2006/relationships/image" Target="../media/image17.emf"/><Relationship Id="rId5" Type="http://schemas.openxmlformats.org/officeDocument/2006/relationships/image" Target="../media/image3.emf"/><Relationship Id="rId15" Type="http://schemas.openxmlformats.org/officeDocument/2006/relationships/image" Target="../media/image8.emf"/><Relationship Id="rId23" Type="http://schemas.openxmlformats.org/officeDocument/2006/relationships/hyperlink" Target="#CONTENTS!A1"/><Relationship Id="rId28" Type="http://schemas.openxmlformats.org/officeDocument/2006/relationships/hyperlink" Target="#COVER!A1"/><Relationship Id="rId36" Type="http://schemas.openxmlformats.org/officeDocument/2006/relationships/image" Target="../media/image19.emf"/><Relationship Id="rId10" Type="http://schemas.openxmlformats.org/officeDocument/2006/relationships/hyperlink" Target="#'VISITOR NUMBERS'!E6"/><Relationship Id="rId19" Type="http://schemas.openxmlformats.org/officeDocument/2006/relationships/hyperlink" Target="#DATA!E6"/><Relationship Id="rId31" Type="http://schemas.openxmlformats.org/officeDocument/2006/relationships/hyperlink" Target="#'VISITOR TYPE DISTRIBUTION'!E6"/><Relationship Id="rId4" Type="http://schemas.openxmlformats.org/officeDocument/2006/relationships/hyperlink" Target="#'COMPARATIVE HEADLINES'!E6"/><Relationship Id="rId9" Type="http://schemas.openxmlformats.org/officeDocument/2006/relationships/image" Target="../media/image5.emf"/><Relationship Id="rId14" Type="http://schemas.openxmlformats.org/officeDocument/2006/relationships/hyperlink" Target="#'KEY MEASURES'!E6"/><Relationship Id="rId22" Type="http://schemas.openxmlformats.org/officeDocument/2006/relationships/hyperlink" Target="#CONTENTS!E6"/><Relationship Id="rId27" Type="http://schemas.openxmlformats.org/officeDocument/2006/relationships/image" Target="../media/image14.emf"/><Relationship Id="rId30" Type="http://schemas.openxmlformats.org/officeDocument/2006/relationships/image" Target="../media/image16.jpeg"/><Relationship Id="rId35" Type="http://schemas.openxmlformats.org/officeDocument/2006/relationships/hyperlink" Target="#'ACCOMMODATION SUPPLY'!E6"/><Relationship Id="rId8" Type="http://schemas.openxmlformats.org/officeDocument/2006/relationships/hyperlink" Target="#'VISITOR DAYS'!E6"/></Relationships>
</file>

<file path=xl/drawings/_rels/drawing5.xml.rels><?xml version="1.0" encoding="UTF-8" standalone="yes"?>
<Relationships xmlns="http://schemas.openxmlformats.org/package/2006/relationships"><Relationship Id="rId3" Type="http://schemas.openxmlformats.org/officeDocument/2006/relationships/image" Target="../media/image2.WMF"/><Relationship Id="rId2" Type="http://schemas.openxmlformats.org/officeDocument/2006/relationships/hyperlink" Target="#HOME!E6"/><Relationship Id="rId1" Type="http://schemas.openxmlformats.org/officeDocument/2006/relationships/image" Target="../media/image1.jpeg"/><Relationship Id="rId6" Type="http://schemas.openxmlformats.org/officeDocument/2006/relationships/image" Target="../media/image33.emf"/><Relationship Id="rId5" Type="http://schemas.openxmlformats.org/officeDocument/2006/relationships/image" Target="../media/image32.emf"/><Relationship Id="rId4" Type="http://schemas.openxmlformats.org/officeDocument/2006/relationships/image" Target="../media/image10.png"/></Relationships>
</file>

<file path=xl/drawings/_rels/drawing6.xml.rels><?xml version="1.0" encoding="UTF-8" standalone="yes"?>
<Relationships xmlns="http://schemas.openxmlformats.org/package/2006/relationships"><Relationship Id="rId8" Type="http://schemas.openxmlformats.org/officeDocument/2006/relationships/chart" Target="../charts/chart5.xml"/><Relationship Id="rId3" Type="http://schemas.openxmlformats.org/officeDocument/2006/relationships/chart" Target="../charts/chart2.xml"/><Relationship Id="rId7" Type="http://schemas.openxmlformats.org/officeDocument/2006/relationships/chart" Target="../charts/chart4.xml"/><Relationship Id="rId2" Type="http://schemas.openxmlformats.org/officeDocument/2006/relationships/image" Target="../media/image1.jpeg"/><Relationship Id="rId1" Type="http://schemas.openxmlformats.org/officeDocument/2006/relationships/chart" Target="../charts/chart1.xml"/><Relationship Id="rId6" Type="http://schemas.openxmlformats.org/officeDocument/2006/relationships/chart" Target="../charts/chart3.xml"/><Relationship Id="rId11" Type="http://schemas.openxmlformats.org/officeDocument/2006/relationships/chart" Target="../charts/chart8.xml"/><Relationship Id="rId5" Type="http://schemas.openxmlformats.org/officeDocument/2006/relationships/image" Target="../media/image2.WMF"/><Relationship Id="rId10" Type="http://schemas.openxmlformats.org/officeDocument/2006/relationships/chart" Target="../charts/chart7.xml"/><Relationship Id="rId4" Type="http://schemas.openxmlformats.org/officeDocument/2006/relationships/hyperlink" Target="#HOME!E6"/><Relationship Id="rId9" Type="http://schemas.openxmlformats.org/officeDocument/2006/relationships/chart" Target="../charts/chart6.xml"/></Relationships>
</file>

<file path=xl/drawings/_rels/drawing7.xml.rels><?xml version="1.0" encoding="UTF-8" standalone="yes"?>
<Relationships xmlns="http://schemas.openxmlformats.org/package/2006/relationships"><Relationship Id="rId8" Type="http://schemas.openxmlformats.org/officeDocument/2006/relationships/image" Target="../media/image36.emf"/><Relationship Id="rId3" Type="http://schemas.openxmlformats.org/officeDocument/2006/relationships/image" Target="../media/image2.WMF"/><Relationship Id="rId7" Type="http://schemas.openxmlformats.org/officeDocument/2006/relationships/chart" Target="../charts/chart12.xml"/><Relationship Id="rId12" Type="http://schemas.openxmlformats.org/officeDocument/2006/relationships/image" Target="../media/image40.emf"/><Relationship Id="rId2" Type="http://schemas.openxmlformats.org/officeDocument/2006/relationships/hyperlink" Target="#HOME!E6"/><Relationship Id="rId1" Type="http://schemas.openxmlformats.org/officeDocument/2006/relationships/image" Target="../media/image1.jpeg"/><Relationship Id="rId6" Type="http://schemas.openxmlformats.org/officeDocument/2006/relationships/chart" Target="../charts/chart11.xml"/><Relationship Id="rId11" Type="http://schemas.openxmlformats.org/officeDocument/2006/relationships/image" Target="../media/image39.emf"/><Relationship Id="rId5" Type="http://schemas.openxmlformats.org/officeDocument/2006/relationships/chart" Target="../charts/chart10.xml"/><Relationship Id="rId10" Type="http://schemas.openxmlformats.org/officeDocument/2006/relationships/image" Target="../media/image38.emf"/><Relationship Id="rId4" Type="http://schemas.openxmlformats.org/officeDocument/2006/relationships/chart" Target="../charts/chart9.xml"/><Relationship Id="rId9" Type="http://schemas.openxmlformats.org/officeDocument/2006/relationships/image" Target="../media/image37.emf"/></Relationships>
</file>

<file path=xl/drawings/_rels/drawing8.xml.rels><?xml version="1.0" encoding="UTF-8" standalone="yes"?>
<Relationships xmlns="http://schemas.openxmlformats.org/package/2006/relationships"><Relationship Id="rId8" Type="http://schemas.openxmlformats.org/officeDocument/2006/relationships/image" Target="../media/image47.emf"/><Relationship Id="rId13" Type="http://schemas.openxmlformats.org/officeDocument/2006/relationships/chart" Target="../charts/chart18.xml"/><Relationship Id="rId18" Type="http://schemas.openxmlformats.org/officeDocument/2006/relationships/image" Target="../media/image51.emf"/><Relationship Id="rId3" Type="http://schemas.openxmlformats.org/officeDocument/2006/relationships/image" Target="../media/image2.WMF"/><Relationship Id="rId7" Type="http://schemas.openxmlformats.org/officeDocument/2006/relationships/image" Target="../media/image46.emf"/><Relationship Id="rId12" Type="http://schemas.openxmlformats.org/officeDocument/2006/relationships/image" Target="../media/image49.emf"/><Relationship Id="rId17" Type="http://schemas.openxmlformats.org/officeDocument/2006/relationships/chart" Target="../charts/chart21.xml"/><Relationship Id="rId2" Type="http://schemas.openxmlformats.org/officeDocument/2006/relationships/hyperlink" Target="#HOME!E6"/><Relationship Id="rId16" Type="http://schemas.openxmlformats.org/officeDocument/2006/relationships/chart" Target="../charts/chart20.xml"/><Relationship Id="rId1" Type="http://schemas.openxmlformats.org/officeDocument/2006/relationships/image" Target="../media/image1.jpeg"/><Relationship Id="rId6" Type="http://schemas.openxmlformats.org/officeDocument/2006/relationships/chart" Target="../charts/chart15.xml"/><Relationship Id="rId11" Type="http://schemas.openxmlformats.org/officeDocument/2006/relationships/image" Target="../media/image48.emf"/><Relationship Id="rId5" Type="http://schemas.openxmlformats.org/officeDocument/2006/relationships/chart" Target="../charts/chart14.xml"/><Relationship Id="rId15" Type="http://schemas.openxmlformats.org/officeDocument/2006/relationships/image" Target="../media/image50.emf"/><Relationship Id="rId10" Type="http://schemas.openxmlformats.org/officeDocument/2006/relationships/chart" Target="../charts/chart17.xml"/><Relationship Id="rId19" Type="http://schemas.openxmlformats.org/officeDocument/2006/relationships/image" Target="../media/image52.emf"/><Relationship Id="rId4" Type="http://schemas.openxmlformats.org/officeDocument/2006/relationships/chart" Target="../charts/chart13.xml"/><Relationship Id="rId9" Type="http://schemas.openxmlformats.org/officeDocument/2006/relationships/chart" Target="../charts/chart16.xml"/><Relationship Id="rId14" Type="http://schemas.openxmlformats.org/officeDocument/2006/relationships/chart" Target="../charts/chart19.xml"/></Relationships>
</file>

<file path=xl/drawings/_rels/drawing9.xml.rels><?xml version="1.0" encoding="UTF-8" standalone="yes"?>
<Relationships xmlns="http://schemas.openxmlformats.org/package/2006/relationships"><Relationship Id="rId3" Type="http://schemas.openxmlformats.org/officeDocument/2006/relationships/image" Target="../media/image2.WMF"/><Relationship Id="rId7" Type="http://schemas.openxmlformats.org/officeDocument/2006/relationships/chart" Target="../charts/chart25.xml"/><Relationship Id="rId2" Type="http://schemas.openxmlformats.org/officeDocument/2006/relationships/hyperlink" Target="#HOME!E6"/><Relationship Id="rId1" Type="http://schemas.openxmlformats.org/officeDocument/2006/relationships/image" Target="../media/image1.jpeg"/><Relationship Id="rId6" Type="http://schemas.openxmlformats.org/officeDocument/2006/relationships/chart" Target="../charts/chart24.xml"/><Relationship Id="rId5" Type="http://schemas.openxmlformats.org/officeDocument/2006/relationships/chart" Target="../charts/chart23.xml"/><Relationship Id="rId4" Type="http://schemas.openxmlformats.org/officeDocument/2006/relationships/chart" Target="../charts/chart22.xml"/></Relationships>
</file>

<file path=xl/drawings/_rels/vmlDrawing2.vml.rels><?xml version="1.0" encoding="UTF-8" standalone="yes"?>
<Relationships xmlns="http://schemas.openxmlformats.org/package/2006/relationships"><Relationship Id="rId8" Type="http://schemas.openxmlformats.org/officeDocument/2006/relationships/image" Target="../media/image27.emf"/><Relationship Id="rId3" Type="http://schemas.openxmlformats.org/officeDocument/2006/relationships/image" Target="../media/image22.emf"/><Relationship Id="rId7" Type="http://schemas.openxmlformats.org/officeDocument/2006/relationships/image" Target="../media/image26.png"/><Relationship Id="rId12" Type="http://schemas.openxmlformats.org/officeDocument/2006/relationships/image" Target="../media/image31.emf"/><Relationship Id="rId2" Type="http://schemas.openxmlformats.org/officeDocument/2006/relationships/image" Target="../media/image21.emf"/><Relationship Id="rId1" Type="http://schemas.openxmlformats.org/officeDocument/2006/relationships/image" Target="../media/image20.emf"/><Relationship Id="rId6" Type="http://schemas.openxmlformats.org/officeDocument/2006/relationships/image" Target="../media/image25.emf"/><Relationship Id="rId11" Type="http://schemas.openxmlformats.org/officeDocument/2006/relationships/image" Target="../media/image30.emf"/><Relationship Id="rId5" Type="http://schemas.openxmlformats.org/officeDocument/2006/relationships/image" Target="../media/image24.emf"/><Relationship Id="rId10" Type="http://schemas.openxmlformats.org/officeDocument/2006/relationships/image" Target="../media/image29.emf"/><Relationship Id="rId4" Type="http://schemas.openxmlformats.org/officeDocument/2006/relationships/image" Target="../media/image23.emf"/><Relationship Id="rId9" Type="http://schemas.openxmlformats.org/officeDocument/2006/relationships/image" Target="../media/image28.emf"/></Relationships>
</file>

<file path=xl/drawings/_rels/vmlDrawing3.vml.rels><?xml version="1.0" encoding="UTF-8" standalone="yes"?>
<Relationships xmlns="http://schemas.openxmlformats.org/package/2006/relationships"><Relationship Id="rId2" Type="http://schemas.openxmlformats.org/officeDocument/2006/relationships/image" Target="../media/image35.emf"/><Relationship Id="rId1" Type="http://schemas.openxmlformats.org/officeDocument/2006/relationships/image" Target="../media/image34.emf"/></Relationships>
</file>

<file path=xl/drawings/_rels/vmlDrawing5.vml.rels><?xml version="1.0" encoding="UTF-8" standalone="yes"?>
<Relationships xmlns="http://schemas.openxmlformats.org/package/2006/relationships"><Relationship Id="rId3" Type="http://schemas.openxmlformats.org/officeDocument/2006/relationships/image" Target="../media/image43.emf"/><Relationship Id="rId2" Type="http://schemas.openxmlformats.org/officeDocument/2006/relationships/image" Target="../media/image42.emf"/><Relationship Id="rId1" Type="http://schemas.openxmlformats.org/officeDocument/2006/relationships/image" Target="../media/image41.emf"/><Relationship Id="rId5" Type="http://schemas.openxmlformats.org/officeDocument/2006/relationships/image" Target="../media/image45.emf"/><Relationship Id="rId4" Type="http://schemas.openxmlformats.org/officeDocument/2006/relationships/image" Target="../media/image44.emf"/></Relationships>
</file>

<file path=xl/drawings/_rels/vmlDrawing6.vml.rels><?xml version="1.0" encoding="UTF-8" standalone="yes"?>
<Relationships xmlns="http://schemas.openxmlformats.org/package/2006/relationships"><Relationship Id="rId3" Type="http://schemas.openxmlformats.org/officeDocument/2006/relationships/image" Target="../media/image55.emf"/><Relationship Id="rId7" Type="http://schemas.openxmlformats.org/officeDocument/2006/relationships/image" Target="../media/image59.emf"/><Relationship Id="rId2" Type="http://schemas.openxmlformats.org/officeDocument/2006/relationships/image" Target="../media/image54.emf"/><Relationship Id="rId1" Type="http://schemas.openxmlformats.org/officeDocument/2006/relationships/image" Target="../media/image53.emf"/><Relationship Id="rId6" Type="http://schemas.openxmlformats.org/officeDocument/2006/relationships/image" Target="../media/image58.emf"/><Relationship Id="rId5" Type="http://schemas.openxmlformats.org/officeDocument/2006/relationships/image" Target="../media/image57.emf"/><Relationship Id="rId4" Type="http://schemas.openxmlformats.org/officeDocument/2006/relationships/image" Target="../media/image56.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533400</xdr:colOff>
          <xdr:row>36</xdr:row>
          <xdr:rowOff>114300</xdr:rowOff>
        </xdr:from>
        <xdr:to>
          <xdr:col>5</xdr:col>
          <xdr:colOff>723900</xdr:colOff>
          <xdr:row>39</xdr:row>
          <xdr:rowOff>175260</xdr:rowOff>
        </xdr:to>
        <xdr:sp macro="" textlink="">
          <xdr:nvSpPr>
            <xdr:cNvPr id="389121" name="List Box 1" hidden="1">
              <a:extLst>
                <a:ext uri="{63B3BB69-23CF-44E3-9099-C40C66FF867C}">
                  <a14:compatExt spid="_x0000_s389121"/>
                </a:ext>
                <a:ext uri="{FF2B5EF4-FFF2-40B4-BE49-F238E27FC236}">
                  <a16:creationId xmlns:a16="http://schemas.microsoft.com/office/drawing/2014/main" id="{00000000-0008-0000-0100-000001F005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xdr:twoCellAnchor>
    <xdr:from>
      <xdr:col>13</xdr:col>
      <xdr:colOff>304800</xdr:colOff>
      <xdr:row>4</xdr:row>
      <xdr:rowOff>0</xdr:rowOff>
    </xdr:from>
    <xdr:to>
      <xdr:col>16</xdr:col>
      <xdr:colOff>138840</xdr:colOff>
      <xdr:row>4</xdr:row>
      <xdr:rowOff>327600</xdr:rowOff>
    </xdr:to>
    <xdr:sp macro="" textlink="">
      <xdr:nvSpPr>
        <xdr:cNvPr id="22" name="Rectangle 21">
          <a:extLst>
            <a:ext uri="{FF2B5EF4-FFF2-40B4-BE49-F238E27FC236}">
              <a16:creationId xmlns:a16="http://schemas.microsoft.com/office/drawing/2014/main" id="{00000000-0008-0000-0A00-000016000000}"/>
            </a:ext>
          </a:extLst>
        </xdr:cNvPr>
        <xdr:cNvSpPr/>
      </xdr:nvSpPr>
      <xdr:spPr>
        <a:xfrm>
          <a:off x="6448425" y="866775"/>
          <a:ext cx="1205640" cy="327600"/>
        </a:xfrm>
        <a:prstGeom prst="rect">
          <a:avLst/>
        </a:prstGeom>
        <a:solidFill>
          <a:schemeClr val="accent1"/>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lIns="0" tIns="0" rIns="0" bIns="0" rtlCol="0" anchor="ctr"/>
        <a:lstStyle/>
        <a:p>
          <a:pPr algn="ctr"/>
          <a:r>
            <a:rPr lang="en-GB" sz="900" b="1">
              <a:solidFill>
                <a:schemeClr val="bg1"/>
              </a:solidFill>
            </a:rPr>
            <a:t>INDEXATION</a:t>
          </a:r>
        </a:p>
        <a:p>
          <a:pPr algn="ctr"/>
          <a:r>
            <a:rPr lang="en-GB" sz="900" b="0">
              <a:solidFill>
                <a:schemeClr val="bg1"/>
              </a:solidFill>
            </a:rPr>
            <a:t>Reflect Price</a:t>
          </a:r>
          <a:r>
            <a:rPr lang="en-GB" sz="900" b="0" baseline="0">
              <a:solidFill>
                <a:schemeClr val="bg1"/>
              </a:solidFill>
            </a:rPr>
            <a:t> Inflation?</a:t>
          </a:r>
          <a:endParaRPr lang="en-GB" sz="900" b="0">
            <a:solidFill>
              <a:schemeClr val="bg1"/>
            </a:solidFill>
          </a:endParaRPr>
        </a:p>
      </xdr:txBody>
    </xdr:sp>
    <xdr:clientData fPrintsWithSheet="0"/>
  </xdr:twoCellAnchor>
  <xdr:twoCellAnchor>
    <xdr:from>
      <xdr:col>4</xdr:col>
      <xdr:colOff>91441</xdr:colOff>
      <xdr:row>1</xdr:row>
      <xdr:rowOff>106680</xdr:rowOff>
    </xdr:from>
    <xdr:to>
      <xdr:col>4</xdr:col>
      <xdr:colOff>358141</xdr:colOff>
      <xdr:row>2</xdr:row>
      <xdr:rowOff>260040</xdr:rowOff>
    </xdr:to>
    <xdr:pic>
      <xdr:nvPicPr>
        <xdr:cNvPr id="25" name="Picture 24" descr="logovvsm.jpg">
          <a:extLst>
            <a:ext uri="{FF2B5EF4-FFF2-40B4-BE49-F238E27FC236}">
              <a16:creationId xmlns:a16="http://schemas.microsoft.com/office/drawing/2014/main" id="{00000000-0008-0000-0A00-000019000000}"/>
            </a:ext>
          </a:extLst>
        </xdr:cNvPr>
        <xdr:cNvPicPr>
          <a:picLocks noChangeAspect="1"/>
        </xdr:cNvPicPr>
      </xdr:nvPicPr>
      <xdr:blipFill>
        <a:blip xmlns:r="http://schemas.openxmlformats.org/officeDocument/2006/relationships" r:embed="rId1" cstate="print"/>
        <a:stretch>
          <a:fillRect/>
        </a:stretch>
      </xdr:blipFill>
      <xdr:spPr>
        <a:xfrm>
          <a:off x="1432561" y="106680"/>
          <a:ext cx="266700" cy="359100"/>
        </a:xfrm>
        <a:prstGeom prst="roundRect">
          <a:avLst>
            <a:gd name="adj" fmla="val 8594"/>
          </a:avLst>
        </a:prstGeom>
        <a:solidFill>
          <a:srgbClr val="FFFFFF">
            <a:shade val="85000"/>
          </a:srgbClr>
        </a:solidFill>
        <a:ln>
          <a:noFill/>
        </a:ln>
        <a:effectLst>
          <a:outerShdw blurRad="63500" sx="102000" sy="102000" algn="ctr" rotWithShape="0">
            <a:prstClr val="black">
              <a:alpha val="40000"/>
            </a:prstClr>
          </a:outerShdw>
        </a:effectLst>
      </xdr:spPr>
    </xdr:pic>
    <xdr:clientData/>
  </xdr:twoCellAnchor>
  <xdr:twoCellAnchor>
    <xdr:from>
      <xdr:col>4</xdr:col>
      <xdr:colOff>403860</xdr:colOff>
      <xdr:row>1</xdr:row>
      <xdr:rowOff>99060</xdr:rowOff>
    </xdr:from>
    <xdr:to>
      <xdr:col>7</xdr:col>
      <xdr:colOff>251460</xdr:colOff>
      <xdr:row>2</xdr:row>
      <xdr:rowOff>274320</xdr:rowOff>
    </xdr:to>
    <xdr:sp macro="" textlink="REP.gts">
      <xdr:nvSpPr>
        <xdr:cNvPr id="2" name="TextBox 1">
          <a:extLst>
            <a:ext uri="{FF2B5EF4-FFF2-40B4-BE49-F238E27FC236}">
              <a16:creationId xmlns:a16="http://schemas.microsoft.com/office/drawing/2014/main" id="{00000000-0008-0000-0A00-000002000000}"/>
            </a:ext>
          </a:extLst>
        </xdr:cNvPr>
        <xdr:cNvSpPr txBox="1"/>
      </xdr:nvSpPr>
      <xdr:spPr>
        <a:xfrm>
          <a:off x="1744980" y="99060"/>
          <a:ext cx="2011680" cy="381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fld id="{3BA988AB-649B-451C-8315-D0DA89BAC50D}" type="TxLink">
            <a:rPr lang="en-US" sz="900" b="1" i="0" u="none" strike="noStrike">
              <a:solidFill>
                <a:srgbClr val="000000"/>
              </a:solidFill>
              <a:latin typeface="+mn-lt"/>
            </a:rPr>
            <a:pPr algn="l"/>
            <a:t>Global Tourism Solutions (UK) Ltd</a:t>
          </a:fld>
          <a:endParaRPr lang="en-GB" sz="900" b="1">
            <a:latin typeface="+mn-lt"/>
          </a:endParaRPr>
        </a:p>
      </xdr:txBody>
    </xdr:sp>
    <xdr:clientData/>
  </xdr:twoCellAnchor>
  <xdr:twoCellAnchor>
    <xdr:from>
      <xdr:col>4</xdr:col>
      <xdr:colOff>60960</xdr:colOff>
      <xdr:row>3</xdr:row>
      <xdr:rowOff>15240</xdr:rowOff>
    </xdr:from>
    <xdr:to>
      <xdr:col>21</xdr:col>
      <xdr:colOff>45720</xdr:colOff>
      <xdr:row>3</xdr:row>
      <xdr:rowOff>320040</xdr:rowOff>
    </xdr:to>
    <xdr:sp macro="" textlink="">
      <xdr:nvSpPr>
        <xdr:cNvPr id="28" name="Rectangle 27">
          <a:extLst>
            <a:ext uri="{FF2B5EF4-FFF2-40B4-BE49-F238E27FC236}">
              <a16:creationId xmlns:a16="http://schemas.microsoft.com/office/drawing/2014/main" id="{00000000-0008-0000-0A00-00001C000000}"/>
            </a:ext>
          </a:extLst>
        </xdr:cNvPr>
        <xdr:cNvSpPr/>
      </xdr:nvSpPr>
      <xdr:spPr>
        <a:xfrm>
          <a:off x="1402080" y="556260"/>
          <a:ext cx="8763000" cy="304800"/>
        </a:xfrm>
        <a:prstGeom prst="rect">
          <a:avLst/>
        </a:prstGeom>
        <a:noFill/>
        <a:ln>
          <a:noFill/>
        </a:ln>
        <a:effectLst>
          <a:outerShdw blurRad="63500" sx="102000" sy="102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lIns="36000" tIns="36000" rIns="36000" bIns="36000" rtlCol="0" anchor="ctr"/>
        <a:lstStyle/>
        <a:p>
          <a:pPr algn="l"/>
          <a:r>
            <a:rPr lang="en-GB" sz="1000" b="1">
              <a:solidFill>
                <a:schemeClr val="bg1"/>
              </a:solidFill>
            </a:rPr>
            <a:t>REPORT CONTROLS </a:t>
          </a:r>
          <a:r>
            <a:rPr lang="en-GB" sz="1000" b="0" i="1">
              <a:solidFill>
                <a:schemeClr val="bg1"/>
              </a:solidFill>
            </a:rPr>
            <a:t>- Please adjust the report outputs</a:t>
          </a:r>
          <a:r>
            <a:rPr lang="en-GB" sz="1000" b="0" i="1" baseline="0">
              <a:solidFill>
                <a:schemeClr val="bg1"/>
              </a:solidFill>
            </a:rPr>
            <a:t> using the drop-down controls below</a:t>
          </a:r>
        </a:p>
      </xdr:txBody>
    </xdr:sp>
    <xdr:clientData fPrintsWithSheet="0"/>
  </xdr:twoCellAnchor>
  <xdr:twoCellAnchor editAs="oneCell">
    <xdr:from>
      <xdr:col>22</xdr:col>
      <xdr:colOff>320041</xdr:colOff>
      <xdr:row>3</xdr:row>
      <xdr:rowOff>45721</xdr:rowOff>
    </xdr:from>
    <xdr:to>
      <xdr:col>23</xdr:col>
      <xdr:colOff>398146</xdr:colOff>
      <xdr:row>4</xdr:row>
      <xdr:rowOff>299165</xdr:rowOff>
    </xdr:to>
    <xdr:pic>
      <xdr:nvPicPr>
        <xdr:cNvPr id="3" name="Picture 2">
          <a:hlinkClick xmlns:r="http://schemas.openxmlformats.org/officeDocument/2006/relationships" r:id="rId2" tooltip="Home - Navigation Page"/>
          <a:extLst>
            <a:ext uri="{FF2B5EF4-FFF2-40B4-BE49-F238E27FC236}">
              <a16:creationId xmlns:a16="http://schemas.microsoft.com/office/drawing/2014/main" id="{00000000-0008-0000-0A00-000003000000}"/>
            </a:ext>
          </a:extLst>
        </xdr:cNvPr>
        <xdr:cNvPicPr>
          <a:picLocks noChangeAspect="1"/>
        </xdr:cNvPicPr>
      </xdr:nvPicPr>
      <xdr:blipFill>
        <a:blip xmlns:r="http://schemas.openxmlformats.org/officeDocument/2006/relationships" r:embed="rId3" cstate="print">
          <a:grayscl/>
          <a:extLst>
            <a:ext uri="{28A0092B-C50C-407E-A947-70E740481C1C}">
              <a14:useLocalDpi xmlns:a14="http://schemas.microsoft.com/office/drawing/2010/main" val="0"/>
            </a:ext>
          </a:extLst>
        </a:blip>
        <a:stretch>
          <a:fillRect/>
        </a:stretch>
      </xdr:blipFill>
      <xdr:spPr>
        <a:xfrm>
          <a:off x="10911841" y="586741"/>
          <a:ext cx="579120" cy="588724"/>
        </a:xfrm>
        <a:prstGeom prst="rect">
          <a:avLst/>
        </a:prstGeom>
      </xdr:spPr>
    </xdr:pic>
    <xdr:clientData/>
  </xdr:twoCellAnchor>
  <xdr:twoCellAnchor>
    <xdr:from>
      <xdr:col>18</xdr:col>
      <xdr:colOff>53340</xdr:colOff>
      <xdr:row>29</xdr:row>
      <xdr:rowOff>83820</xdr:rowOff>
    </xdr:from>
    <xdr:to>
      <xdr:col>23</xdr:col>
      <xdr:colOff>457200</xdr:colOff>
      <xdr:row>37</xdr:row>
      <xdr:rowOff>114300</xdr:rowOff>
    </xdr:to>
    <xdr:graphicFrame macro="">
      <xdr:nvGraphicFramePr>
        <xdr:cNvPr id="7" name="Chart 6">
          <a:extLst>
            <a:ext uri="{FF2B5EF4-FFF2-40B4-BE49-F238E27FC236}">
              <a16:creationId xmlns:a16="http://schemas.microsoft.com/office/drawing/2014/main" id="{00000000-0008-0000-0A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43815</xdr:colOff>
      <xdr:row>28</xdr:row>
      <xdr:rowOff>39083</xdr:rowOff>
    </xdr:from>
    <xdr:to>
      <xdr:col>24</xdr:col>
      <xdr:colOff>28575</xdr:colOff>
      <xdr:row>28</xdr:row>
      <xdr:rowOff>161956</xdr:rowOff>
    </xdr:to>
    <xdr:sp macro="" textlink="">
      <xdr:nvSpPr>
        <xdr:cNvPr id="17" name="TextBox 16">
          <a:extLst>
            <a:ext uri="{FF2B5EF4-FFF2-40B4-BE49-F238E27FC236}">
              <a16:creationId xmlns:a16="http://schemas.microsoft.com/office/drawing/2014/main" id="{00000000-0008-0000-0A00-000011000000}"/>
            </a:ext>
          </a:extLst>
        </xdr:cNvPr>
        <xdr:cNvSpPr txBox="1"/>
      </xdr:nvSpPr>
      <xdr:spPr>
        <a:xfrm>
          <a:off x="8473440" y="5839808"/>
          <a:ext cx="2727960" cy="1228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900" b="1" i="0" u="none" strike="noStrike">
              <a:solidFill>
                <a:schemeClr val="tx1">
                  <a:lumMod val="50000"/>
                  <a:lumOff val="50000"/>
                </a:schemeClr>
              </a:solidFill>
              <a:latin typeface="Calibri"/>
            </a:rPr>
            <a:t>Economic Impact </a:t>
          </a:r>
          <a:r>
            <a:rPr lang="en-US" sz="900" b="1" i="0" u="none" strike="noStrike" baseline="0">
              <a:solidFill>
                <a:schemeClr val="tx1">
                  <a:lumMod val="50000"/>
                  <a:lumOff val="50000"/>
                </a:schemeClr>
              </a:solidFill>
              <a:latin typeface="Calibri"/>
            </a:rPr>
            <a:t>by Year and Share of Total</a:t>
          </a:r>
          <a:endParaRPr lang="en-US" sz="900" b="1" i="0" u="none" strike="noStrike">
            <a:solidFill>
              <a:schemeClr val="tx1">
                <a:lumMod val="50000"/>
                <a:lumOff val="50000"/>
              </a:schemeClr>
            </a:solidFill>
            <a:latin typeface="Calibri"/>
          </a:endParaRPr>
        </a:p>
      </xdr:txBody>
    </xdr:sp>
    <xdr:clientData/>
  </xdr:twoCellAnchor>
  <xdr:twoCellAnchor>
    <xdr:from>
      <xdr:col>17</xdr:col>
      <xdr:colOff>281940</xdr:colOff>
      <xdr:row>3</xdr:row>
      <xdr:rowOff>304801</xdr:rowOff>
    </xdr:from>
    <xdr:to>
      <xdr:col>21</xdr:col>
      <xdr:colOff>192180</xdr:colOff>
      <xdr:row>4</xdr:row>
      <xdr:rowOff>329521</xdr:rowOff>
    </xdr:to>
    <xdr:sp macro="" textlink="">
      <xdr:nvSpPr>
        <xdr:cNvPr id="20" name="Rectangle 19">
          <a:extLst>
            <a:ext uri="{FF2B5EF4-FFF2-40B4-BE49-F238E27FC236}">
              <a16:creationId xmlns:a16="http://schemas.microsoft.com/office/drawing/2014/main" id="{00000000-0008-0000-0A00-000014000000}"/>
            </a:ext>
          </a:extLst>
        </xdr:cNvPr>
        <xdr:cNvSpPr/>
      </xdr:nvSpPr>
      <xdr:spPr>
        <a:xfrm>
          <a:off x="8511540" y="845821"/>
          <a:ext cx="1800000" cy="360000"/>
        </a:xfrm>
        <a:prstGeom prst="rect">
          <a:avLst/>
        </a:prstGeom>
        <a:noFill/>
        <a:ln>
          <a:noFill/>
        </a:ln>
        <a:effectLst>
          <a:outerShdw blurRad="63500" sx="101000" sy="101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lIns="36000" tIns="36000" rIns="36000" bIns="36000" rtlCol="0" anchor="ctr"/>
        <a:lstStyle/>
        <a:p>
          <a:pPr algn="ctr"/>
          <a:r>
            <a:rPr lang="en-GB" sz="900" b="1">
              <a:solidFill>
                <a:schemeClr val="bg1"/>
              </a:solidFill>
            </a:rPr>
            <a:t>HIGHLIGHT</a:t>
          </a:r>
          <a:r>
            <a:rPr lang="en-GB" sz="900" b="1" baseline="0">
              <a:solidFill>
                <a:schemeClr val="bg1"/>
              </a:solidFill>
            </a:rPr>
            <a:t> % CHANGES</a:t>
          </a:r>
        </a:p>
        <a:p>
          <a:pPr algn="ctr"/>
          <a:r>
            <a:rPr lang="en-GB" sz="900" b="1" baseline="0">
              <a:solidFill>
                <a:schemeClr val="bg1"/>
              </a:solidFill>
            </a:rPr>
            <a:t>GREATER THAN OR EQUAL TO:</a:t>
          </a:r>
        </a:p>
      </xdr:txBody>
    </xdr:sp>
    <xdr:clientData fPrintsWithSheet="0"/>
  </xdr:twoCellAnchor>
  <mc:AlternateContent xmlns:mc="http://schemas.openxmlformats.org/markup-compatibility/2006">
    <mc:Choice xmlns:a14="http://schemas.microsoft.com/office/drawing/2010/main" Requires="a14">
      <xdr:twoCellAnchor editAs="oneCell">
        <xdr:from>
          <xdr:col>21</xdr:col>
          <xdr:colOff>182880</xdr:colOff>
          <xdr:row>4</xdr:row>
          <xdr:rowOff>22860</xdr:rowOff>
        </xdr:from>
        <xdr:to>
          <xdr:col>22</xdr:col>
          <xdr:colOff>266700</xdr:colOff>
          <xdr:row>4</xdr:row>
          <xdr:rowOff>297180</xdr:rowOff>
        </xdr:to>
        <xdr:sp macro="" textlink="">
          <xdr:nvSpPr>
            <xdr:cNvPr id="1040" name="Drop Down 16" hidden="1">
              <a:extLst>
                <a:ext uri="{63B3BB69-23CF-44E3-9099-C40C66FF867C}">
                  <a14:compatExt spid="_x0000_s1040"/>
                </a:ext>
                <a:ext uri="{FF2B5EF4-FFF2-40B4-BE49-F238E27FC236}">
                  <a16:creationId xmlns:a16="http://schemas.microsoft.com/office/drawing/2014/main" id="{00000000-0008-0000-0A00-000010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4</xdr:row>
          <xdr:rowOff>22860</xdr:rowOff>
        </xdr:from>
        <xdr:to>
          <xdr:col>17</xdr:col>
          <xdr:colOff>297180</xdr:colOff>
          <xdr:row>4</xdr:row>
          <xdr:rowOff>297180</xdr:rowOff>
        </xdr:to>
        <xdr:sp macro="" textlink="">
          <xdr:nvSpPr>
            <xdr:cNvPr id="1042" name="Drop Down 18" hidden="1">
              <a:extLst>
                <a:ext uri="{63B3BB69-23CF-44E3-9099-C40C66FF867C}">
                  <a14:compatExt spid="_x0000_s1042"/>
                </a:ext>
                <a:ext uri="{FF2B5EF4-FFF2-40B4-BE49-F238E27FC236}">
                  <a16:creationId xmlns:a16="http://schemas.microsoft.com/office/drawing/2014/main" id="{00000000-0008-0000-0A00-000012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7</xdr:col>
      <xdr:colOff>411480</xdr:colOff>
      <xdr:row>3</xdr:row>
      <xdr:rowOff>304800</xdr:rowOff>
    </xdr:from>
    <xdr:to>
      <xdr:col>9</xdr:col>
      <xdr:colOff>419100</xdr:colOff>
      <xdr:row>4</xdr:row>
      <xdr:rowOff>329520</xdr:rowOff>
    </xdr:to>
    <xdr:sp macro="" textlink="">
      <xdr:nvSpPr>
        <xdr:cNvPr id="24" name="Rectangle 23">
          <a:extLst>
            <a:ext uri="{FF2B5EF4-FFF2-40B4-BE49-F238E27FC236}">
              <a16:creationId xmlns:a16="http://schemas.microsoft.com/office/drawing/2014/main" id="{00000000-0008-0000-0A00-000018000000}"/>
            </a:ext>
          </a:extLst>
        </xdr:cNvPr>
        <xdr:cNvSpPr/>
      </xdr:nvSpPr>
      <xdr:spPr>
        <a:xfrm>
          <a:off x="3916680" y="845820"/>
          <a:ext cx="952500" cy="360000"/>
        </a:xfrm>
        <a:prstGeom prst="rect">
          <a:avLst/>
        </a:prstGeom>
        <a:noFill/>
        <a:ln>
          <a:noFill/>
        </a:ln>
        <a:effectLst>
          <a:outerShdw blurRad="63500" sx="101000" sy="101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lIns="36000" tIns="36000" rIns="36000" bIns="36000" rtlCol="0" anchor="ctr"/>
        <a:lstStyle/>
        <a:p>
          <a:pPr algn="ctr"/>
          <a:r>
            <a:rPr lang="en-GB" sz="900" b="1">
              <a:solidFill>
                <a:schemeClr val="bg1"/>
              </a:solidFill>
            </a:rPr>
            <a:t>VISITOR</a:t>
          </a:r>
        </a:p>
        <a:p>
          <a:pPr algn="ctr"/>
          <a:r>
            <a:rPr lang="en-GB" sz="900" b="1">
              <a:solidFill>
                <a:schemeClr val="bg1"/>
              </a:solidFill>
            </a:rPr>
            <a:t>TYPE</a:t>
          </a:r>
        </a:p>
      </xdr:txBody>
    </xdr:sp>
    <xdr:clientData fPrintsWithSheet="0"/>
  </xdr:twoCellAnchor>
  <mc:AlternateContent xmlns:mc="http://schemas.openxmlformats.org/markup-compatibility/2006">
    <mc:Choice xmlns:a14="http://schemas.microsoft.com/office/drawing/2010/main" Requires="a14">
      <xdr:twoCellAnchor editAs="oneCell">
        <xdr:from>
          <xdr:col>9</xdr:col>
          <xdr:colOff>175260</xdr:colOff>
          <xdr:row>4</xdr:row>
          <xdr:rowOff>22860</xdr:rowOff>
        </xdr:from>
        <xdr:to>
          <xdr:col>13</xdr:col>
          <xdr:colOff>152400</xdr:colOff>
          <xdr:row>4</xdr:row>
          <xdr:rowOff>297180</xdr:rowOff>
        </xdr:to>
        <xdr:sp macro="" textlink="">
          <xdr:nvSpPr>
            <xdr:cNvPr id="1044" name="Drop Down 20" hidden="1">
              <a:extLst>
                <a:ext uri="{63B3BB69-23CF-44E3-9099-C40C66FF867C}">
                  <a14:compatExt spid="_x0000_s1044"/>
                </a:ext>
                <a:ext uri="{FF2B5EF4-FFF2-40B4-BE49-F238E27FC236}">
                  <a16:creationId xmlns:a16="http://schemas.microsoft.com/office/drawing/2014/main" id="{00000000-0008-0000-0A00-000014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7</xdr:col>
      <xdr:colOff>236220</xdr:colOff>
      <xdr:row>1</xdr:row>
      <xdr:rowOff>91440</xdr:rowOff>
    </xdr:from>
    <xdr:to>
      <xdr:col>22</xdr:col>
      <xdr:colOff>182880</xdr:colOff>
      <xdr:row>2</xdr:row>
      <xdr:rowOff>190500</xdr:rowOff>
    </xdr:to>
    <xdr:sp macro="" textlink="">
      <xdr:nvSpPr>
        <xdr:cNvPr id="18" name="Rectangle 17">
          <a:extLst>
            <a:ext uri="{FF2B5EF4-FFF2-40B4-BE49-F238E27FC236}">
              <a16:creationId xmlns:a16="http://schemas.microsoft.com/office/drawing/2014/main" id="{00000000-0008-0000-0A00-000012000000}"/>
            </a:ext>
          </a:extLst>
        </xdr:cNvPr>
        <xdr:cNvSpPr/>
      </xdr:nvSpPr>
      <xdr:spPr>
        <a:xfrm>
          <a:off x="3741420" y="91440"/>
          <a:ext cx="7033260" cy="304800"/>
        </a:xfrm>
        <a:prstGeom prst="rect">
          <a:avLst/>
        </a:prstGeom>
        <a:noFill/>
        <a:ln>
          <a:noFill/>
        </a:ln>
        <a:effectLst>
          <a:outerShdw blurRad="63500" sx="102000" sy="102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lIns="36000" tIns="36000" rIns="36000" bIns="36000" rtlCol="0" anchor="ctr"/>
        <a:lstStyle/>
        <a:p>
          <a:pPr algn="r"/>
          <a:r>
            <a:rPr lang="en-GB" sz="1000" b="1">
              <a:solidFill>
                <a:schemeClr val="tx1">
                  <a:lumMod val="65000"/>
                  <a:lumOff val="35000"/>
                </a:schemeClr>
              </a:solidFill>
            </a:rPr>
            <a:t>Pressing this on-screen "Home" button on</a:t>
          </a:r>
          <a:r>
            <a:rPr lang="en-GB" sz="1000" b="1" baseline="0">
              <a:solidFill>
                <a:schemeClr val="tx1">
                  <a:lumMod val="65000"/>
                  <a:lumOff val="35000"/>
                </a:schemeClr>
              </a:solidFill>
            </a:rPr>
            <a:t> any sheet of the report takes you back to the navigation page</a:t>
          </a:r>
          <a:endParaRPr lang="en-GB" sz="1000" b="0" i="1" baseline="0">
            <a:solidFill>
              <a:schemeClr val="tx1">
                <a:lumMod val="65000"/>
                <a:lumOff val="35000"/>
              </a:schemeClr>
            </a:solidFill>
          </a:endParaRPr>
        </a:p>
      </xdr:txBody>
    </xdr:sp>
    <xdr:clientData fPrintsWithSheet="0"/>
  </xdr:twoCellAnchor>
  <xdr:twoCellAnchor>
    <xdr:from>
      <xdr:col>22</xdr:col>
      <xdr:colOff>232410</xdr:colOff>
      <xdr:row>2</xdr:row>
      <xdr:rowOff>11430</xdr:rowOff>
    </xdr:from>
    <xdr:to>
      <xdr:col>23</xdr:col>
      <xdr:colOff>190500</xdr:colOff>
      <xdr:row>2</xdr:row>
      <xdr:rowOff>281940</xdr:rowOff>
    </xdr:to>
    <xdr:sp macro="" textlink="">
      <xdr:nvSpPr>
        <xdr:cNvPr id="19" name="Bent Arrow 18">
          <a:extLst>
            <a:ext uri="{FF2B5EF4-FFF2-40B4-BE49-F238E27FC236}">
              <a16:creationId xmlns:a16="http://schemas.microsoft.com/office/drawing/2014/main" id="{00000000-0008-0000-0A00-000013000000}"/>
            </a:ext>
          </a:extLst>
        </xdr:cNvPr>
        <xdr:cNvSpPr/>
      </xdr:nvSpPr>
      <xdr:spPr>
        <a:xfrm rot="5400000">
          <a:off x="10904220" y="137160"/>
          <a:ext cx="270510" cy="430530"/>
        </a:xfrm>
        <a:prstGeom prst="bentArrow">
          <a:avLst/>
        </a:prstGeom>
        <a:solidFill>
          <a:schemeClr val="bg1">
            <a:lumMod val="85000"/>
          </a:schemeClr>
        </a:solidFill>
        <a:ln w="22225">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chemeClr val="tx1"/>
            </a:solidFill>
          </a:endParaRPr>
        </a:p>
      </xdr:txBody>
    </xdr:sp>
    <xdr:clientData/>
  </xdr:twoCellAnchor>
  <xdr:twoCellAnchor>
    <xdr:from>
      <xdr:col>18</xdr:col>
      <xdr:colOff>78105</xdr:colOff>
      <xdr:row>28</xdr:row>
      <xdr:rowOff>68579</xdr:rowOff>
    </xdr:from>
    <xdr:to>
      <xdr:col>18</xdr:col>
      <xdr:colOff>384809</xdr:colOff>
      <xdr:row>29</xdr:row>
      <xdr:rowOff>24765</xdr:rowOff>
    </xdr:to>
    <xdr:sp macro="" textlink="$F$16">
      <xdr:nvSpPr>
        <xdr:cNvPr id="21" name="TextBox 20">
          <a:extLst>
            <a:ext uri="{FF2B5EF4-FFF2-40B4-BE49-F238E27FC236}">
              <a16:creationId xmlns:a16="http://schemas.microsoft.com/office/drawing/2014/main" id="{00000000-0008-0000-0A00-000015000000}"/>
            </a:ext>
          </a:extLst>
        </xdr:cNvPr>
        <xdr:cNvSpPr txBox="1"/>
      </xdr:nvSpPr>
      <xdr:spPr>
        <a:xfrm>
          <a:off x="8850630" y="5869304"/>
          <a:ext cx="306704" cy="15621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fld id="{43D5B695-DBC5-4614-8745-598FF1BA22CC}" type="TxLink">
            <a:rPr lang="en-US" sz="900" b="1" i="0" u="none" strike="noStrike">
              <a:solidFill>
                <a:schemeClr val="tx1"/>
              </a:solidFill>
              <a:latin typeface="Calibri"/>
            </a:rPr>
            <a:pPr algn="ctr"/>
            <a:t>£M</a:t>
          </a:fld>
          <a:endParaRPr lang="en-US" sz="800" b="1" i="0" u="none" strike="noStrike">
            <a:solidFill>
              <a:schemeClr val="tx1"/>
            </a:solidFill>
            <a:latin typeface="Calibri"/>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4</xdr:col>
      <xdr:colOff>91441</xdr:colOff>
      <xdr:row>1</xdr:row>
      <xdr:rowOff>106680</xdr:rowOff>
    </xdr:from>
    <xdr:to>
      <xdr:col>4</xdr:col>
      <xdr:colOff>358141</xdr:colOff>
      <xdr:row>2</xdr:row>
      <xdr:rowOff>260040</xdr:rowOff>
    </xdr:to>
    <xdr:pic>
      <xdr:nvPicPr>
        <xdr:cNvPr id="2" name="Picture 1" descr="logovvsm.jpg">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cstate="print"/>
        <a:stretch>
          <a:fillRect/>
        </a:stretch>
      </xdr:blipFill>
      <xdr:spPr>
        <a:xfrm>
          <a:off x="1432561" y="106680"/>
          <a:ext cx="266700" cy="359100"/>
        </a:xfrm>
        <a:prstGeom prst="roundRect">
          <a:avLst>
            <a:gd name="adj" fmla="val 8594"/>
          </a:avLst>
        </a:prstGeom>
        <a:solidFill>
          <a:srgbClr val="FFFFFF">
            <a:shade val="85000"/>
          </a:srgbClr>
        </a:solidFill>
        <a:ln>
          <a:noFill/>
        </a:ln>
        <a:effectLst>
          <a:outerShdw blurRad="63500" sx="102000" sy="102000" algn="ctr" rotWithShape="0">
            <a:prstClr val="black">
              <a:alpha val="40000"/>
            </a:prstClr>
          </a:outerShdw>
        </a:effectLst>
      </xdr:spPr>
    </xdr:pic>
    <xdr:clientData/>
  </xdr:twoCellAnchor>
  <xdr:twoCellAnchor>
    <xdr:from>
      <xdr:col>4</xdr:col>
      <xdr:colOff>403860</xdr:colOff>
      <xdr:row>1</xdr:row>
      <xdr:rowOff>99060</xdr:rowOff>
    </xdr:from>
    <xdr:to>
      <xdr:col>7</xdr:col>
      <xdr:colOff>251460</xdr:colOff>
      <xdr:row>2</xdr:row>
      <xdr:rowOff>274320</xdr:rowOff>
    </xdr:to>
    <xdr:sp macro="" textlink="REP.gts">
      <xdr:nvSpPr>
        <xdr:cNvPr id="3" name="TextBox 2">
          <a:extLst>
            <a:ext uri="{FF2B5EF4-FFF2-40B4-BE49-F238E27FC236}">
              <a16:creationId xmlns:a16="http://schemas.microsoft.com/office/drawing/2014/main" id="{00000000-0008-0000-0B00-000003000000}"/>
            </a:ext>
          </a:extLst>
        </xdr:cNvPr>
        <xdr:cNvSpPr txBox="1"/>
      </xdr:nvSpPr>
      <xdr:spPr>
        <a:xfrm>
          <a:off x="1744980" y="99060"/>
          <a:ext cx="2011680" cy="381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fld id="{3BA988AB-649B-451C-8315-D0DA89BAC50D}" type="TxLink">
            <a:rPr lang="en-US" sz="900" b="1" i="0" u="none" strike="noStrike">
              <a:solidFill>
                <a:srgbClr val="000000"/>
              </a:solidFill>
              <a:latin typeface="+mn-lt"/>
            </a:rPr>
            <a:pPr algn="l"/>
            <a:t>Global Tourism Solutions (UK) Ltd</a:t>
          </a:fld>
          <a:endParaRPr lang="en-GB" sz="900" b="1">
            <a:latin typeface="+mn-lt"/>
          </a:endParaRPr>
        </a:p>
      </xdr:txBody>
    </xdr:sp>
    <xdr:clientData/>
  </xdr:twoCellAnchor>
  <xdr:twoCellAnchor>
    <xdr:from>
      <xdr:col>4</xdr:col>
      <xdr:colOff>60960</xdr:colOff>
      <xdr:row>3</xdr:row>
      <xdr:rowOff>15240</xdr:rowOff>
    </xdr:from>
    <xdr:to>
      <xdr:col>21</xdr:col>
      <xdr:colOff>45720</xdr:colOff>
      <xdr:row>3</xdr:row>
      <xdr:rowOff>320040</xdr:rowOff>
    </xdr:to>
    <xdr:sp macro="" textlink="">
      <xdr:nvSpPr>
        <xdr:cNvPr id="4" name="Rectangle 3">
          <a:extLst>
            <a:ext uri="{FF2B5EF4-FFF2-40B4-BE49-F238E27FC236}">
              <a16:creationId xmlns:a16="http://schemas.microsoft.com/office/drawing/2014/main" id="{00000000-0008-0000-0B00-000004000000}"/>
            </a:ext>
          </a:extLst>
        </xdr:cNvPr>
        <xdr:cNvSpPr/>
      </xdr:nvSpPr>
      <xdr:spPr>
        <a:xfrm>
          <a:off x="1402080" y="556260"/>
          <a:ext cx="8763000" cy="304800"/>
        </a:xfrm>
        <a:prstGeom prst="rect">
          <a:avLst/>
        </a:prstGeom>
        <a:noFill/>
        <a:ln>
          <a:noFill/>
        </a:ln>
        <a:effectLst>
          <a:outerShdw blurRad="63500" sx="102000" sy="102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lIns="36000" tIns="36000" rIns="36000" bIns="36000" rtlCol="0" anchor="ctr"/>
        <a:lstStyle/>
        <a:p>
          <a:pPr algn="l"/>
          <a:r>
            <a:rPr lang="en-GB" sz="1000" b="1">
              <a:solidFill>
                <a:schemeClr val="bg1"/>
              </a:solidFill>
            </a:rPr>
            <a:t>REPORT CONTROLS </a:t>
          </a:r>
          <a:r>
            <a:rPr lang="en-GB" sz="1000" b="0" i="1">
              <a:solidFill>
                <a:schemeClr val="bg1"/>
              </a:solidFill>
            </a:rPr>
            <a:t>- Please adjust the report outputs</a:t>
          </a:r>
          <a:r>
            <a:rPr lang="en-GB" sz="1000" b="0" i="1" baseline="0">
              <a:solidFill>
                <a:schemeClr val="bg1"/>
              </a:solidFill>
            </a:rPr>
            <a:t> using the drop-down controls below</a:t>
          </a:r>
        </a:p>
      </xdr:txBody>
    </xdr:sp>
    <xdr:clientData fPrintsWithSheet="0"/>
  </xdr:twoCellAnchor>
  <xdr:twoCellAnchor editAs="oneCell">
    <xdr:from>
      <xdr:col>22</xdr:col>
      <xdr:colOff>320041</xdr:colOff>
      <xdr:row>3</xdr:row>
      <xdr:rowOff>45721</xdr:rowOff>
    </xdr:from>
    <xdr:to>
      <xdr:col>23</xdr:col>
      <xdr:colOff>398146</xdr:colOff>
      <xdr:row>4</xdr:row>
      <xdr:rowOff>299165</xdr:rowOff>
    </xdr:to>
    <xdr:pic>
      <xdr:nvPicPr>
        <xdr:cNvPr id="5" name="Picture 4">
          <a:hlinkClick xmlns:r="http://schemas.openxmlformats.org/officeDocument/2006/relationships" r:id="rId2" tooltip="Home - Navigation Page"/>
          <a:extLst>
            <a:ext uri="{FF2B5EF4-FFF2-40B4-BE49-F238E27FC236}">
              <a16:creationId xmlns:a16="http://schemas.microsoft.com/office/drawing/2014/main" id="{00000000-0008-0000-0B00-000005000000}"/>
            </a:ext>
          </a:extLst>
        </xdr:cNvPr>
        <xdr:cNvPicPr>
          <a:picLocks noChangeAspect="1"/>
        </xdr:cNvPicPr>
      </xdr:nvPicPr>
      <xdr:blipFill>
        <a:blip xmlns:r="http://schemas.openxmlformats.org/officeDocument/2006/relationships" r:embed="rId3" cstate="print">
          <a:grayscl/>
          <a:extLst>
            <a:ext uri="{28A0092B-C50C-407E-A947-70E740481C1C}">
              <a14:useLocalDpi xmlns:a14="http://schemas.microsoft.com/office/drawing/2010/main" val="0"/>
            </a:ext>
          </a:extLst>
        </a:blip>
        <a:stretch>
          <a:fillRect/>
        </a:stretch>
      </xdr:blipFill>
      <xdr:spPr>
        <a:xfrm>
          <a:off x="10911841" y="586741"/>
          <a:ext cx="579120" cy="588724"/>
        </a:xfrm>
        <a:prstGeom prst="rect">
          <a:avLst/>
        </a:prstGeom>
      </xdr:spPr>
    </xdr:pic>
    <xdr:clientData/>
  </xdr:twoCellAnchor>
  <xdr:twoCellAnchor>
    <xdr:from>
      <xdr:col>18</xdr:col>
      <xdr:colOff>0</xdr:colOff>
      <xdr:row>29</xdr:row>
      <xdr:rowOff>83820</xdr:rowOff>
    </xdr:from>
    <xdr:to>
      <xdr:col>24</xdr:col>
      <xdr:colOff>0</xdr:colOff>
      <xdr:row>37</xdr:row>
      <xdr:rowOff>114300</xdr:rowOff>
    </xdr:to>
    <xdr:graphicFrame macro="">
      <xdr:nvGraphicFramePr>
        <xdr:cNvPr id="8" name="Chart 7">
          <a:extLst>
            <a:ext uri="{FF2B5EF4-FFF2-40B4-BE49-F238E27FC236}">
              <a16:creationId xmlns:a16="http://schemas.microsoft.com/office/drawing/2014/main" id="{00000000-0008-0000-0B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93345</xdr:colOff>
      <xdr:row>28</xdr:row>
      <xdr:rowOff>48608</xdr:rowOff>
    </xdr:from>
    <xdr:to>
      <xdr:col>23</xdr:col>
      <xdr:colOff>428625</xdr:colOff>
      <xdr:row>28</xdr:row>
      <xdr:rowOff>171481</xdr:rowOff>
    </xdr:to>
    <xdr:sp macro="" textlink="">
      <xdr:nvSpPr>
        <xdr:cNvPr id="11" name="TextBox 10">
          <a:extLst>
            <a:ext uri="{FF2B5EF4-FFF2-40B4-BE49-F238E27FC236}">
              <a16:creationId xmlns:a16="http://schemas.microsoft.com/office/drawing/2014/main" id="{00000000-0008-0000-0B00-00000B000000}"/>
            </a:ext>
          </a:extLst>
        </xdr:cNvPr>
        <xdr:cNvSpPr txBox="1"/>
      </xdr:nvSpPr>
      <xdr:spPr>
        <a:xfrm>
          <a:off x="8522970" y="5849333"/>
          <a:ext cx="2621280" cy="1228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900" b="1" i="0" u="none" strike="noStrike">
              <a:solidFill>
                <a:schemeClr val="tx1">
                  <a:lumMod val="50000"/>
                  <a:lumOff val="50000"/>
                </a:schemeClr>
              </a:solidFill>
              <a:latin typeface="Calibri"/>
            </a:rPr>
            <a:t>Visitor No.s </a:t>
          </a:r>
          <a:r>
            <a:rPr lang="en-US" sz="900" b="1" i="0" u="none" strike="noStrike" baseline="0">
              <a:solidFill>
                <a:schemeClr val="tx1">
                  <a:lumMod val="50000"/>
                  <a:lumOff val="50000"/>
                </a:schemeClr>
              </a:solidFill>
              <a:latin typeface="Calibri"/>
            </a:rPr>
            <a:t>by Year and Share of Total</a:t>
          </a:r>
        </a:p>
      </xdr:txBody>
    </xdr:sp>
    <xdr:clientData/>
  </xdr:twoCellAnchor>
  <xdr:twoCellAnchor>
    <xdr:from>
      <xdr:col>17</xdr:col>
      <xdr:colOff>281940</xdr:colOff>
      <xdr:row>3</xdr:row>
      <xdr:rowOff>304801</xdr:rowOff>
    </xdr:from>
    <xdr:to>
      <xdr:col>21</xdr:col>
      <xdr:colOff>192180</xdr:colOff>
      <xdr:row>4</xdr:row>
      <xdr:rowOff>329521</xdr:rowOff>
    </xdr:to>
    <xdr:sp macro="" textlink="">
      <xdr:nvSpPr>
        <xdr:cNvPr id="15" name="Rectangle 14">
          <a:extLst>
            <a:ext uri="{FF2B5EF4-FFF2-40B4-BE49-F238E27FC236}">
              <a16:creationId xmlns:a16="http://schemas.microsoft.com/office/drawing/2014/main" id="{00000000-0008-0000-0B00-00000F000000}"/>
            </a:ext>
          </a:extLst>
        </xdr:cNvPr>
        <xdr:cNvSpPr/>
      </xdr:nvSpPr>
      <xdr:spPr>
        <a:xfrm>
          <a:off x="8511540" y="845821"/>
          <a:ext cx="1800000" cy="360000"/>
        </a:xfrm>
        <a:prstGeom prst="rect">
          <a:avLst/>
        </a:prstGeom>
        <a:noFill/>
        <a:ln>
          <a:noFill/>
        </a:ln>
        <a:effectLst>
          <a:outerShdw blurRad="63500" sx="101000" sy="101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lIns="36000" tIns="36000" rIns="36000" bIns="36000" rtlCol="0" anchor="ctr"/>
        <a:lstStyle/>
        <a:p>
          <a:pPr algn="ctr"/>
          <a:r>
            <a:rPr lang="en-GB" sz="900" b="1">
              <a:solidFill>
                <a:schemeClr val="bg1"/>
              </a:solidFill>
            </a:rPr>
            <a:t>HIGHLIGHT </a:t>
          </a:r>
          <a:r>
            <a:rPr lang="en-GB" sz="900" b="1" baseline="0">
              <a:solidFill>
                <a:schemeClr val="bg1"/>
              </a:solidFill>
            </a:rPr>
            <a:t>% CHANGES</a:t>
          </a:r>
        </a:p>
        <a:p>
          <a:pPr algn="ctr"/>
          <a:r>
            <a:rPr lang="en-GB" sz="900" b="1" baseline="0">
              <a:solidFill>
                <a:schemeClr val="bg1"/>
              </a:solidFill>
            </a:rPr>
            <a:t>GREATER THAN OR EQUAL TO:</a:t>
          </a:r>
        </a:p>
      </xdr:txBody>
    </xdr:sp>
    <xdr:clientData fPrintsWithSheet="0"/>
  </xdr:twoCellAnchor>
  <mc:AlternateContent xmlns:mc="http://schemas.openxmlformats.org/markup-compatibility/2006">
    <mc:Choice xmlns:a14="http://schemas.microsoft.com/office/drawing/2010/main" Requires="a14">
      <xdr:twoCellAnchor editAs="oneCell">
        <xdr:from>
          <xdr:col>21</xdr:col>
          <xdr:colOff>182880</xdr:colOff>
          <xdr:row>4</xdr:row>
          <xdr:rowOff>22860</xdr:rowOff>
        </xdr:from>
        <xdr:to>
          <xdr:col>22</xdr:col>
          <xdr:colOff>266700</xdr:colOff>
          <xdr:row>4</xdr:row>
          <xdr:rowOff>297180</xdr:rowOff>
        </xdr:to>
        <xdr:sp macro="" textlink="">
          <xdr:nvSpPr>
            <xdr:cNvPr id="118787" name="Drop Down 3" hidden="1">
              <a:extLst>
                <a:ext uri="{63B3BB69-23CF-44E3-9099-C40C66FF867C}">
                  <a14:compatExt spid="_x0000_s118787"/>
                </a:ext>
                <a:ext uri="{FF2B5EF4-FFF2-40B4-BE49-F238E27FC236}">
                  <a16:creationId xmlns:a16="http://schemas.microsoft.com/office/drawing/2014/main" id="{00000000-0008-0000-0B00-000003D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7</xdr:col>
      <xdr:colOff>411480</xdr:colOff>
      <xdr:row>3</xdr:row>
      <xdr:rowOff>304800</xdr:rowOff>
    </xdr:from>
    <xdr:to>
      <xdr:col>9</xdr:col>
      <xdr:colOff>419100</xdr:colOff>
      <xdr:row>4</xdr:row>
      <xdr:rowOff>329520</xdr:rowOff>
    </xdr:to>
    <xdr:sp macro="" textlink="">
      <xdr:nvSpPr>
        <xdr:cNvPr id="18" name="Rectangle 17">
          <a:extLst>
            <a:ext uri="{FF2B5EF4-FFF2-40B4-BE49-F238E27FC236}">
              <a16:creationId xmlns:a16="http://schemas.microsoft.com/office/drawing/2014/main" id="{00000000-0008-0000-0B00-000012000000}"/>
            </a:ext>
          </a:extLst>
        </xdr:cNvPr>
        <xdr:cNvSpPr/>
      </xdr:nvSpPr>
      <xdr:spPr>
        <a:xfrm>
          <a:off x="3916680" y="845820"/>
          <a:ext cx="952500" cy="360000"/>
        </a:xfrm>
        <a:prstGeom prst="rect">
          <a:avLst/>
        </a:prstGeom>
        <a:noFill/>
        <a:ln>
          <a:noFill/>
        </a:ln>
        <a:effectLst>
          <a:outerShdw blurRad="63500" sx="101000" sy="101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lIns="36000" tIns="36000" rIns="36000" bIns="36000" rtlCol="0" anchor="ctr"/>
        <a:lstStyle/>
        <a:p>
          <a:pPr algn="ctr"/>
          <a:r>
            <a:rPr lang="en-GB" sz="900" b="1">
              <a:solidFill>
                <a:schemeClr val="bg1"/>
              </a:solidFill>
            </a:rPr>
            <a:t>VISITOR</a:t>
          </a:r>
        </a:p>
        <a:p>
          <a:pPr algn="ctr"/>
          <a:r>
            <a:rPr lang="en-GB" sz="900" b="1">
              <a:solidFill>
                <a:schemeClr val="bg1"/>
              </a:solidFill>
            </a:rPr>
            <a:t>TYPE</a:t>
          </a:r>
        </a:p>
      </xdr:txBody>
    </xdr:sp>
    <xdr:clientData fPrintsWithSheet="0"/>
  </xdr:twoCellAnchor>
  <mc:AlternateContent xmlns:mc="http://schemas.openxmlformats.org/markup-compatibility/2006">
    <mc:Choice xmlns:a14="http://schemas.microsoft.com/office/drawing/2010/main" Requires="a14">
      <xdr:twoCellAnchor editAs="oneCell">
        <xdr:from>
          <xdr:col>9</xdr:col>
          <xdr:colOff>175260</xdr:colOff>
          <xdr:row>4</xdr:row>
          <xdr:rowOff>22860</xdr:rowOff>
        </xdr:from>
        <xdr:to>
          <xdr:col>13</xdr:col>
          <xdr:colOff>152400</xdr:colOff>
          <xdr:row>4</xdr:row>
          <xdr:rowOff>297180</xdr:rowOff>
        </xdr:to>
        <xdr:sp macro="" textlink="">
          <xdr:nvSpPr>
            <xdr:cNvPr id="118789" name="Drop Down 5" hidden="1">
              <a:extLst>
                <a:ext uri="{63B3BB69-23CF-44E3-9099-C40C66FF867C}">
                  <a14:compatExt spid="_x0000_s118789"/>
                </a:ext>
                <a:ext uri="{FF2B5EF4-FFF2-40B4-BE49-F238E27FC236}">
                  <a16:creationId xmlns:a16="http://schemas.microsoft.com/office/drawing/2014/main" id="{00000000-0008-0000-0B00-000005D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7</xdr:col>
      <xdr:colOff>236220</xdr:colOff>
      <xdr:row>1</xdr:row>
      <xdr:rowOff>91440</xdr:rowOff>
    </xdr:from>
    <xdr:to>
      <xdr:col>22</xdr:col>
      <xdr:colOff>182880</xdr:colOff>
      <xdr:row>2</xdr:row>
      <xdr:rowOff>190500</xdr:rowOff>
    </xdr:to>
    <xdr:sp macro="" textlink="">
      <xdr:nvSpPr>
        <xdr:cNvPr id="14" name="Rectangle 13">
          <a:extLst>
            <a:ext uri="{FF2B5EF4-FFF2-40B4-BE49-F238E27FC236}">
              <a16:creationId xmlns:a16="http://schemas.microsoft.com/office/drawing/2014/main" id="{00000000-0008-0000-0B00-00000E000000}"/>
            </a:ext>
          </a:extLst>
        </xdr:cNvPr>
        <xdr:cNvSpPr/>
      </xdr:nvSpPr>
      <xdr:spPr>
        <a:xfrm>
          <a:off x="3741420" y="91440"/>
          <a:ext cx="7033260" cy="304800"/>
        </a:xfrm>
        <a:prstGeom prst="rect">
          <a:avLst/>
        </a:prstGeom>
        <a:noFill/>
        <a:ln>
          <a:noFill/>
        </a:ln>
        <a:effectLst>
          <a:outerShdw blurRad="63500" sx="102000" sy="102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lIns="36000" tIns="36000" rIns="36000" bIns="36000" rtlCol="0" anchor="ctr"/>
        <a:lstStyle/>
        <a:p>
          <a:pPr algn="r"/>
          <a:r>
            <a:rPr lang="en-GB" sz="1000" b="1">
              <a:solidFill>
                <a:schemeClr val="tx1">
                  <a:lumMod val="65000"/>
                  <a:lumOff val="35000"/>
                </a:schemeClr>
              </a:solidFill>
            </a:rPr>
            <a:t>Pressing this on-screen "Home" button on</a:t>
          </a:r>
          <a:r>
            <a:rPr lang="en-GB" sz="1000" b="1" baseline="0">
              <a:solidFill>
                <a:schemeClr val="tx1">
                  <a:lumMod val="65000"/>
                  <a:lumOff val="35000"/>
                </a:schemeClr>
              </a:solidFill>
            </a:rPr>
            <a:t> any sheet of the report takes you back to the navigation page</a:t>
          </a:r>
          <a:endParaRPr lang="en-GB" sz="1000" b="0" i="1" baseline="0">
            <a:solidFill>
              <a:schemeClr val="tx1">
                <a:lumMod val="65000"/>
                <a:lumOff val="35000"/>
              </a:schemeClr>
            </a:solidFill>
          </a:endParaRPr>
        </a:p>
      </xdr:txBody>
    </xdr:sp>
    <xdr:clientData fPrintsWithSheet="0"/>
  </xdr:twoCellAnchor>
  <xdr:twoCellAnchor>
    <xdr:from>
      <xdr:col>22</xdr:col>
      <xdr:colOff>232410</xdr:colOff>
      <xdr:row>2</xdr:row>
      <xdr:rowOff>11430</xdr:rowOff>
    </xdr:from>
    <xdr:to>
      <xdr:col>23</xdr:col>
      <xdr:colOff>190500</xdr:colOff>
      <xdr:row>2</xdr:row>
      <xdr:rowOff>281940</xdr:rowOff>
    </xdr:to>
    <xdr:sp macro="" textlink="">
      <xdr:nvSpPr>
        <xdr:cNvPr id="16" name="Bent Arrow 15">
          <a:extLst>
            <a:ext uri="{FF2B5EF4-FFF2-40B4-BE49-F238E27FC236}">
              <a16:creationId xmlns:a16="http://schemas.microsoft.com/office/drawing/2014/main" id="{00000000-0008-0000-0B00-000010000000}"/>
            </a:ext>
          </a:extLst>
        </xdr:cNvPr>
        <xdr:cNvSpPr/>
      </xdr:nvSpPr>
      <xdr:spPr>
        <a:xfrm rot="5400000">
          <a:off x="10904220" y="137160"/>
          <a:ext cx="270510" cy="430530"/>
        </a:xfrm>
        <a:prstGeom prst="bentArrow">
          <a:avLst/>
        </a:prstGeom>
        <a:solidFill>
          <a:schemeClr val="bg1">
            <a:lumMod val="85000"/>
          </a:schemeClr>
        </a:solidFill>
        <a:ln w="22225">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chemeClr val="tx1"/>
            </a:solidFill>
          </a:endParaRPr>
        </a:p>
      </xdr:txBody>
    </xdr:sp>
    <xdr:clientData/>
  </xdr:twoCellAnchor>
  <xdr:twoCellAnchor>
    <xdr:from>
      <xdr:col>18</xdr:col>
      <xdr:colOff>104775</xdr:colOff>
      <xdr:row>28</xdr:row>
      <xdr:rowOff>55245</xdr:rowOff>
    </xdr:from>
    <xdr:to>
      <xdr:col>18</xdr:col>
      <xdr:colOff>411479</xdr:colOff>
      <xdr:row>29</xdr:row>
      <xdr:rowOff>11431</xdr:rowOff>
    </xdr:to>
    <xdr:sp macro="" textlink="$F$16">
      <xdr:nvSpPr>
        <xdr:cNvPr id="17" name="TextBox 16">
          <a:extLst>
            <a:ext uri="{FF2B5EF4-FFF2-40B4-BE49-F238E27FC236}">
              <a16:creationId xmlns:a16="http://schemas.microsoft.com/office/drawing/2014/main" id="{00000000-0008-0000-0B00-000011000000}"/>
            </a:ext>
          </a:extLst>
        </xdr:cNvPr>
        <xdr:cNvSpPr txBox="1"/>
      </xdr:nvSpPr>
      <xdr:spPr>
        <a:xfrm>
          <a:off x="8877300" y="5855970"/>
          <a:ext cx="306704" cy="15621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fld id="{263D66BB-E62C-4EBF-9923-B946FBE9ABDE}" type="TxLink">
            <a:rPr lang="en-US" sz="900" b="1" i="0" u="none" strike="noStrike">
              <a:solidFill>
                <a:sysClr val="windowText" lastClr="000000"/>
              </a:solidFill>
              <a:latin typeface="Calibri"/>
            </a:rPr>
            <a:pPr algn="ctr"/>
            <a:t>M</a:t>
          </a:fld>
          <a:endParaRPr lang="en-US" sz="800" b="1" i="0" u="none" strike="noStrike">
            <a:solidFill>
              <a:sysClr val="windowText" lastClr="000000"/>
            </a:solidFill>
            <a:latin typeface="Calibri"/>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4</xdr:col>
      <xdr:colOff>91441</xdr:colOff>
      <xdr:row>1</xdr:row>
      <xdr:rowOff>106680</xdr:rowOff>
    </xdr:from>
    <xdr:to>
      <xdr:col>4</xdr:col>
      <xdr:colOff>358141</xdr:colOff>
      <xdr:row>2</xdr:row>
      <xdr:rowOff>260040</xdr:rowOff>
    </xdr:to>
    <xdr:pic>
      <xdr:nvPicPr>
        <xdr:cNvPr id="3" name="Picture 2" descr="logovvsm.jpg">
          <a:extLst>
            <a:ext uri="{FF2B5EF4-FFF2-40B4-BE49-F238E27FC236}">
              <a16:creationId xmlns:a16="http://schemas.microsoft.com/office/drawing/2014/main" id="{00000000-0008-0000-0C00-000003000000}"/>
            </a:ext>
          </a:extLst>
        </xdr:cNvPr>
        <xdr:cNvPicPr>
          <a:picLocks noChangeAspect="1"/>
        </xdr:cNvPicPr>
      </xdr:nvPicPr>
      <xdr:blipFill>
        <a:blip xmlns:r="http://schemas.openxmlformats.org/officeDocument/2006/relationships" r:embed="rId1" cstate="print"/>
        <a:stretch>
          <a:fillRect/>
        </a:stretch>
      </xdr:blipFill>
      <xdr:spPr>
        <a:xfrm>
          <a:off x="1432561" y="106680"/>
          <a:ext cx="266700" cy="359100"/>
        </a:xfrm>
        <a:prstGeom prst="roundRect">
          <a:avLst>
            <a:gd name="adj" fmla="val 8594"/>
          </a:avLst>
        </a:prstGeom>
        <a:solidFill>
          <a:srgbClr val="FFFFFF">
            <a:shade val="85000"/>
          </a:srgbClr>
        </a:solidFill>
        <a:ln>
          <a:noFill/>
        </a:ln>
        <a:effectLst>
          <a:outerShdw blurRad="63500" sx="102000" sy="102000" algn="ctr" rotWithShape="0">
            <a:prstClr val="black">
              <a:alpha val="40000"/>
            </a:prstClr>
          </a:outerShdw>
        </a:effectLst>
      </xdr:spPr>
    </xdr:pic>
    <xdr:clientData/>
  </xdr:twoCellAnchor>
  <xdr:twoCellAnchor>
    <xdr:from>
      <xdr:col>4</xdr:col>
      <xdr:colOff>403860</xdr:colOff>
      <xdr:row>1</xdr:row>
      <xdr:rowOff>99060</xdr:rowOff>
    </xdr:from>
    <xdr:to>
      <xdr:col>7</xdr:col>
      <xdr:colOff>251460</xdr:colOff>
      <xdr:row>2</xdr:row>
      <xdr:rowOff>274320</xdr:rowOff>
    </xdr:to>
    <xdr:sp macro="" textlink="REP.gts">
      <xdr:nvSpPr>
        <xdr:cNvPr id="4" name="TextBox 3">
          <a:extLst>
            <a:ext uri="{FF2B5EF4-FFF2-40B4-BE49-F238E27FC236}">
              <a16:creationId xmlns:a16="http://schemas.microsoft.com/office/drawing/2014/main" id="{00000000-0008-0000-0C00-000004000000}"/>
            </a:ext>
          </a:extLst>
        </xdr:cNvPr>
        <xdr:cNvSpPr txBox="1"/>
      </xdr:nvSpPr>
      <xdr:spPr>
        <a:xfrm>
          <a:off x="1744980" y="99060"/>
          <a:ext cx="2011680" cy="381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fld id="{3BA988AB-649B-451C-8315-D0DA89BAC50D}" type="TxLink">
            <a:rPr lang="en-US" sz="900" b="1" i="0" u="none" strike="noStrike">
              <a:solidFill>
                <a:srgbClr val="000000"/>
              </a:solidFill>
              <a:latin typeface="+mn-lt"/>
            </a:rPr>
            <a:pPr algn="l"/>
            <a:t>Global Tourism Solutions (UK) Ltd</a:t>
          </a:fld>
          <a:endParaRPr lang="en-GB" sz="900" b="1">
            <a:latin typeface="+mn-lt"/>
          </a:endParaRPr>
        </a:p>
      </xdr:txBody>
    </xdr:sp>
    <xdr:clientData/>
  </xdr:twoCellAnchor>
  <xdr:twoCellAnchor>
    <xdr:from>
      <xdr:col>4</xdr:col>
      <xdr:colOff>60960</xdr:colOff>
      <xdr:row>3</xdr:row>
      <xdr:rowOff>15240</xdr:rowOff>
    </xdr:from>
    <xdr:to>
      <xdr:col>21</xdr:col>
      <xdr:colOff>45720</xdr:colOff>
      <xdr:row>3</xdr:row>
      <xdr:rowOff>320040</xdr:rowOff>
    </xdr:to>
    <xdr:sp macro="" textlink="">
      <xdr:nvSpPr>
        <xdr:cNvPr id="5" name="Rectangle 4">
          <a:extLst>
            <a:ext uri="{FF2B5EF4-FFF2-40B4-BE49-F238E27FC236}">
              <a16:creationId xmlns:a16="http://schemas.microsoft.com/office/drawing/2014/main" id="{00000000-0008-0000-0C00-000005000000}"/>
            </a:ext>
          </a:extLst>
        </xdr:cNvPr>
        <xdr:cNvSpPr/>
      </xdr:nvSpPr>
      <xdr:spPr>
        <a:xfrm>
          <a:off x="1402080" y="556260"/>
          <a:ext cx="8763000" cy="304800"/>
        </a:xfrm>
        <a:prstGeom prst="rect">
          <a:avLst/>
        </a:prstGeom>
        <a:noFill/>
        <a:ln>
          <a:noFill/>
        </a:ln>
        <a:effectLst>
          <a:outerShdw blurRad="63500" sx="102000" sy="102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lIns="36000" tIns="36000" rIns="36000" bIns="36000" rtlCol="0" anchor="ctr"/>
        <a:lstStyle/>
        <a:p>
          <a:pPr algn="l"/>
          <a:r>
            <a:rPr lang="en-GB" sz="1000" b="1">
              <a:solidFill>
                <a:schemeClr val="bg1"/>
              </a:solidFill>
            </a:rPr>
            <a:t>REPORT CONTROLS </a:t>
          </a:r>
          <a:r>
            <a:rPr lang="en-GB" sz="1000" b="0" i="1">
              <a:solidFill>
                <a:schemeClr val="bg1"/>
              </a:solidFill>
            </a:rPr>
            <a:t>- Please adjust the report outputs</a:t>
          </a:r>
          <a:r>
            <a:rPr lang="en-GB" sz="1000" b="0" i="1" baseline="0">
              <a:solidFill>
                <a:schemeClr val="bg1"/>
              </a:solidFill>
            </a:rPr>
            <a:t> using the drop-down controls below</a:t>
          </a:r>
        </a:p>
      </xdr:txBody>
    </xdr:sp>
    <xdr:clientData fPrintsWithSheet="0"/>
  </xdr:twoCellAnchor>
  <xdr:twoCellAnchor editAs="oneCell">
    <xdr:from>
      <xdr:col>22</xdr:col>
      <xdr:colOff>320041</xdr:colOff>
      <xdr:row>3</xdr:row>
      <xdr:rowOff>45721</xdr:rowOff>
    </xdr:from>
    <xdr:to>
      <xdr:col>23</xdr:col>
      <xdr:colOff>398146</xdr:colOff>
      <xdr:row>4</xdr:row>
      <xdr:rowOff>299165</xdr:rowOff>
    </xdr:to>
    <xdr:pic>
      <xdr:nvPicPr>
        <xdr:cNvPr id="6" name="Picture 5">
          <a:hlinkClick xmlns:r="http://schemas.openxmlformats.org/officeDocument/2006/relationships" r:id="rId2" tooltip="Home - Navigation Page"/>
          <a:extLst>
            <a:ext uri="{FF2B5EF4-FFF2-40B4-BE49-F238E27FC236}">
              <a16:creationId xmlns:a16="http://schemas.microsoft.com/office/drawing/2014/main" id="{00000000-0008-0000-0C00-000006000000}"/>
            </a:ext>
          </a:extLst>
        </xdr:cNvPr>
        <xdr:cNvPicPr>
          <a:picLocks noChangeAspect="1"/>
        </xdr:cNvPicPr>
      </xdr:nvPicPr>
      <xdr:blipFill>
        <a:blip xmlns:r="http://schemas.openxmlformats.org/officeDocument/2006/relationships" r:embed="rId3" cstate="print">
          <a:grayscl/>
          <a:extLst>
            <a:ext uri="{28A0092B-C50C-407E-A947-70E740481C1C}">
              <a14:useLocalDpi xmlns:a14="http://schemas.microsoft.com/office/drawing/2010/main" val="0"/>
            </a:ext>
          </a:extLst>
        </a:blip>
        <a:stretch>
          <a:fillRect/>
        </a:stretch>
      </xdr:blipFill>
      <xdr:spPr>
        <a:xfrm>
          <a:off x="10911841" y="586741"/>
          <a:ext cx="579120" cy="588724"/>
        </a:xfrm>
        <a:prstGeom prst="rect">
          <a:avLst/>
        </a:prstGeom>
      </xdr:spPr>
    </xdr:pic>
    <xdr:clientData/>
  </xdr:twoCellAnchor>
  <xdr:twoCellAnchor>
    <xdr:from>
      <xdr:col>18</xdr:col>
      <xdr:colOff>0</xdr:colOff>
      <xdr:row>29</xdr:row>
      <xdr:rowOff>83820</xdr:rowOff>
    </xdr:from>
    <xdr:to>
      <xdr:col>23</xdr:col>
      <xdr:colOff>457200</xdr:colOff>
      <xdr:row>37</xdr:row>
      <xdr:rowOff>114300</xdr:rowOff>
    </xdr:to>
    <xdr:graphicFrame macro="">
      <xdr:nvGraphicFramePr>
        <xdr:cNvPr id="10" name="Chart 9">
          <a:extLst>
            <a:ext uri="{FF2B5EF4-FFF2-40B4-BE49-F238E27FC236}">
              <a16:creationId xmlns:a16="http://schemas.microsoft.com/office/drawing/2014/main" id="{00000000-0008-0000-0C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131445</xdr:colOff>
      <xdr:row>28</xdr:row>
      <xdr:rowOff>39083</xdr:rowOff>
    </xdr:from>
    <xdr:to>
      <xdr:col>24</xdr:col>
      <xdr:colOff>9525</xdr:colOff>
      <xdr:row>28</xdr:row>
      <xdr:rowOff>161956</xdr:rowOff>
    </xdr:to>
    <xdr:sp macro="" textlink="">
      <xdr:nvSpPr>
        <xdr:cNvPr id="13" name="TextBox 12">
          <a:extLst>
            <a:ext uri="{FF2B5EF4-FFF2-40B4-BE49-F238E27FC236}">
              <a16:creationId xmlns:a16="http://schemas.microsoft.com/office/drawing/2014/main" id="{00000000-0008-0000-0C00-00000D000000}"/>
            </a:ext>
          </a:extLst>
        </xdr:cNvPr>
        <xdr:cNvSpPr txBox="1"/>
      </xdr:nvSpPr>
      <xdr:spPr>
        <a:xfrm>
          <a:off x="8561070" y="5839808"/>
          <a:ext cx="2621280" cy="1228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900" b="1" i="0" u="none" strike="noStrike">
              <a:solidFill>
                <a:schemeClr val="tx1">
                  <a:lumMod val="50000"/>
                  <a:lumOff val="50000"/>
                </a:schemeClr>
              </a:solidFill>
              <a:latin typeface="Calibri"/>
            </a:rPr>
            <a:t>Visitor Days </a:t>
          </a:r>
          <a:r>
            <a:rPr lang="en-US" sz="900" b="1" i="0" u="none" strike="noStrike" baseline="0">
              <a:solidFill>
                <a:schemeClr val="tx1">
                  <a:lumMod val="50000"/>
                  <a:lumOff val="50000"/>
                </a:schemeClr>
              </a:solidFill>
              <a:latin typeface="Calibri"/>
            </a:rPr>
            <a:t>by Year and Share of Total</a:t>
          </a:r>
          <a:endParaRPr lang="en-US" sz="900" b="1" i="0" u="none" strike="noStrike">
            <a:solidFill>
              <a:schemeClr val="tx1">
                <a:lumMod val="50000"/>
                <a:lumOff val="50000"/>
              </a:schemeClr>
            </a:solidFill>
            <a:latin typeface="Calibri"/>
          </a:endParaRPr>
        </a:p>
      </xdr:txBody>
    </xdr:sp>
    <xdr:clientData/>
  </xdr:twoCellAnchor>
  <xdr:twoCellAnchor>
    <xdr:from>
      <xdr:col>17</xdr:col>
      <xdr:colOff>281940</xdr:colOff>
      <xdr:row>3</xdr:row>
      <xdr:rowOff>304801</xdr:rowOff>
    </xdr:from>
    <xdr:to>
      <xdr:col>21</xdr:col>
      <xdr:colOff>192180</xdr:colOff>
      <xdr:row>4</xdr:row>
      <xdr:rowOff>329521</xdr:rowOff>
    </xdr:to>
    <xdr:sp macro="" textlink="">
      <xdr:nvSpPr>
        <xdr:cNvPr id="16" name="Rectangle 15">
          <a:extLst>
            <a:ext uri="{FF2B5EF4-FFF2-40B4-BE49-F238E27FC236}">
              <a16:creationId xmlns:a16="http://schemas.microsoft.com/office/drawing/2014/main" id="{00000000-0008-0000-0C00-000010000000}"/>
            </a:ext>
          </a:extLst>
        </xdr:cNvPr>
        <xdr:cNvSpPr/>
      </xdr:nvSpPr>
      <xdr:spPr>
        <a:xfrm>
          <a:off x="8511540" y="845821"/>
          <a:ext cx="1800000" cy="360000"/>
        </a:xfrm>
        <a:prstGeom prst="rect">
          <a:avLst/>
        </a:prstGeom>
        <a:noFill/>
        <a:ln>
          <a:noFill/>
        </a:ln>
        <a:effectLst>
          <a:outerShdw blurRad="63500" sx="101000" sy="101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lIns="36000" tIns="36000" rIns="36000" bIns="36000" rtlCol="0" anchor="ctr"/>
        <a:lstStyle/>
        <a:p>
          <a:pPr algn="ctr"/>
          <a:r>
            <a:rPr lang="en-GB" sz="900" b="1">
              <a:solidFill>
                <a:schemeClr val="bg1"/>
              </a:solidFill>
            </a:rPr>
            <a:t>HIGHLIGHT</a:t>
          </a:r>
          <a:r>
            <a:rPr lang="en-GB" sz="900" b="1" baseline="0">
              <a:solidFill>
                <a:schemeClr val="bg1"/>
              </a:solidFill>
            </a:rPr>
            <a:t> % CHANGES</a:t>
          </a:r>
        </a:p>
        <a:p>
          <a:pPr algn="ctr"/>
          <a:r>
            <a:rPr lang="en-GB" sz="900" b="1" baseline="0">
              <a:solidFill>
                <a:schemeClr val="bg1"/>
              </a:solidFill>
            </a:rPr>
            <a:t>GREATER THAN OR EQUAL TO:</a:t>
          </a:r>
        </a:p>
      </xdr:txBody>
    </xdr:sp>
    <xdr:clientData fPrintsWithSheet="0"/>
  </xdr:twoCellAnchor>
  <mc:AlternateContent xmlns:mc="http://schemas.openxmlformats.org/markup-compatibility/2006">
    <mc:Choice xmlns:a14="http://schemas.microsoft.com/office/drawing/2010/main" Requires="a14">
      <xdr:twoCellAnchor editAs="oneCell">
        <xdr:from>
          <xdr:col>21</xdr:col>
          <xdr:colOff>182880</xdr:colOff>
          <xdr:row>4</xdr:row>
          <xdr:rowOff>22860</xdr:rowOff>
        </xdr:from>
        <xdr:to>
          <xdr:col>22</xdr:col>
          <xdr:colOff>266700</xdr:colOff>
          <xdr:row>4</xdr:row>
          <xdr:rowOff>297180</xdr:rowOff>
        </xdr:to>
        <xdr:sp macro="" textlink="">
          <xdr:nvSpPr>
            <xdr:cNvPr id="117764" name="Drop Down 4" hidden="1">
              <a:extLst>
                <a:ext uri="{63B3BB69-23CF-44E3-9099-C40C66FF867C}">
                  <a14:compatExt spid="_x0000_s117764"/>
                </a:ext>
                <a:ext uri="{FF2B5EF4-FFF2-40B4-BE49-F238E27FC236}">
                  <a16:creationId xmlns:a16="http://schemas.microsoft.com/office/drawing/2014/main" id="{00000000-0008-0000-0C00-000004C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7</xdr:col>
      <xdr:colOff>411480</xdr:colOff>
      <xdr:row>3</xdr:row>
      <xdr:rowOff>304800</xdr:rowOff>
    </xdr:from>
    <xdr:to>
      <xdr:col>9</xdr:col>
      <xdr:colOff>419100</xdr:colOff>
      <xdr:row>4</xdr:row>
      <xdr:rowOff>329520</xdr:rowOff>
    </xdr:to>
    <xdr:sp macro="" textlink="">
      <xdr:nvSpPr>
        <xdr:cNvPr id="18" name="Rectangle 17">
          <a:extLst>
            <a:ext uri="{FF2B5EF4-FFF2-40B4-BE49-F238E27FC236}">
              <a16:creationId xmlns:a16="http://schemas.microsoft.com/office/drawing/2014/main" id="{00000000-0008-0000-0C00-000012000000}"/>
            </a:ext>
          </a:extLst>
        </xdr:cNvPr>
        <xdr:cNvSpPr/>
      </xdr:nvSpPr>
      <xdr:spPr>
        <a:xfrm>
          <a:off x="3916680" y="845820"/>
          <a:ext cx="952500" cy="360000"/>
        </a:xfrm>
        <a:prstGeom prst="rect">
          <a:avLst/>
        </a:prstGeom>
        <a:noFill/>
        <a:ln>
          <a:noFill/>
        </a:ln>
        <a:effectLst>
          <a:outerShdw blurRad="63500" sx="101000" sy="101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lIns="36000" tIns="36000" rIns="36000" bIns="36000" rtlCol="0" anchor="ctr"/>
        <a:lstStyle/>
        <a:p>
          <a:pPr algn="ctr"/>
          <a:r>
            <a:rPr lang="en-GB" sz="900" b="1">
              <a:solidFill>
                <a:schemeClr val="bg1"/>
              </a:solidFill>
            </a:rPr>
            <a:t>VISITOR</a:t>
          </a:r>
        </a:p>
        <a:p>
          <a:pPr algn="ctr"/>
          <a:r>
            <a:rPr lang="en-GB" sz="900" b="1">
              <a:solidFill>
                <a:schemeClr val="bg1"/>
              </a:solidFill>
            </a:rPr>
            <a:t>TYPE</a:t>
          </a:r>
        </a:p>
      </xdr:txBody>
    </xdr:sp>
    <xdr:clientData fPrintsWithSheet="0"/>
  </xdr:twoCellAnchor>
  <mc:AlternateContent xmlns:mc="http://schemas.openxmlformats.org/markup-compatibility/2006">
    <mc:Choice xmlns:a14="http://schemas.microsoft.com/office/drawing/2010/main" Requires="a14">
      <xdr:twoCellAnchor editAs="oneCell">
        <xdr:from>
          <xdr:col>9</xdr:col>
          <xdr:colOff>175260</xdr:colOff>
          <xdr:row>4</xdr:row>
          <xdr:rowOff>22860</xdr:rowOff>
        </xdr:from>
        <xdr:to>
          <xdr:col>13</xdr:col>
          <xdr:colOff>152400</xdr:colOff>
          <xdr:row>4</xdr:row>
          <xdr:rowOff>297180</xdr:rowOff>
        </xdr:to>
        <xdr:sp macro="" textlink="">
          <xdr:nvSpPr>
            <xdr:cNvPr id="117766" name="Drop Down 6" hidden="1">
              <a:extLst>
                <a:ext uri="{63B3BB69-23CF-44E3-9099-C40C66FF867C}">
                  <a14:compatExt spid="_x0000_s117766"/>
                </a:ext>
                <a:ext uri="{FF2B5EF4-FFF2-40B4-BE49-F238E27FC236}">
                  <a16:creationId xmlns:a16="http://schemas.microsoft.com/office/drawing/2014/main" id="{00000000-0008-0000-0C00-000006C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7</xdr:col>
      <xdr:colOff>236220</xdr:colOff>
      <xdr:row>1</xdr:row>
      <xdr:rowOff>91440</xdr:rowOff>
    </xdr:from>
    <xdr:to>
      <xdr:col>22</xdr:col>
      <xdr:colOff>182880</xdr:colOff>
      <xdr:row>2</xdr:row>
      <xdr:rowOff>190500</xdr:rowOff>
    </xdr:to>
    <xdr:sp macro="" textlink="">
      <xdr:nvSpPr>
        <xdr:cNvPr id="14" name="Rectangle 13">
          <a:extLst>
            <a:ext uri="{FF2B5EF4-FFF2-40B4-BE49-F238E27FC236}">
              <a16:creationId xmlns:a16="http://schemas.microsoft.com/office/drawing/2014/main" id="{00000000-0008-0000-0C00-00000E000000}"/>
            </a:ext>
          </a:extLst>
        </xdr:cNvPr>
        <xdr:cNvSpPr/>
      </xdr:nvSpPr>
      <xdr:spPr>
        <a:xfrm>
          <a:off x="3741420" y="91440"/>
          <a:ext cx="7033260" cy="304800"/>
        </a:xfrm>
        <a:prstGeom prst="rect">
          <a:avLst/>
        </a:prstGeom>
        <a:noFill/>
        <a:ln>
          <a:noFill/>
        </a:ln>
        <a:effectLst>
          <a:outerShdw blurRad="63500" sx="102000" sy="102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lIns="36000" tIns="36000" rIns="36000" bIns="36000" rtlCol="0" anchor="ctr"/>
        <a:lstStyle/>
        <a:p>
          <a:pPr algn="r"/>
          <a:r>
            <a:rPr lang="en-GB" sz="1000" b="1">
              <a:solidFill>
                <a:schemeClr val="tx1">
                  <a:lumMod val="65000"/>
                  <a:lumOff val="35000"/>
                </a:schemeClr>
              </a:solidFill>
            </a:rPr>
            <a:t>Pressing this on-screen "Home" button on</a:t>
          </a:r>
          <a:r>
            <a:rPr lang="en-GB" sz="1000" b="1" baseline="0">
              <a:solidFill>
                <a:schemeClr val="tx1">
                  <a:lumMod val="65000"/>
                  <a:lumOff val="35000"/>
                </a:schemeClr>
              </a:solidFill>
            </a:rPr>
            <a:t> any sheet of the report takes you back to the navigation page</a:t>
          </a:r>
          <a:endParaRPr lang="en-GB" sz="1000" b="0" i="1" baseline="0">
            <a:solidFill>
              <a:schemeClr val="tx1">
                <a:lumMod val="65000"/>
                <a:lumOff val="35000"/>
              </a:schemeClr>
            </a:solidFill>
          </a:endParaRPr>
        </a:p>
      </xdr:txBody>
    </xdr:sp>
    <xdr:clientData fPrintsWithSheet="0"/>
  </xdr:twoCellAnchor>
  <xdr:twoCellAnchor>
    <xdr:from>
      <xdr:col>22</xdr:col>
      <xdr:colOff>232410</xdr:colOff>
      <xdr:row>2</xdr:row>
      <xdr:rowOff>11430</xdr:rowOff>
    </xdr:from>
    <xdr:to>
      <xdr:col>23</xdr:col>
      <xdr:colOff>190500</xdr:colOff>
      <xdr:row>2</xdr:row>
      <xdr:rowOff>281940</xdr:rowOff>
    </xdr:to>
    <xdr:sp macro="" textlink="">
      <xdr:nvSpPr>
        <xdr:cNvPr id="15" name="Bent Arrow 14">
          <a:extLst>
            <a:ext uri="{FF2B5EF4-FFF2-40B4-BE49-F238E27FC236}">
              <a16:creationId xmlns:a16="http://schemas.microsoft.com/office/drawing/2014/main" id="{00000000-0008-0000-0C00-00000F000000}"/>
            </a:ext>
          </a:extLst>
        </xdr:cNvPr>
        <xdr:cNvSpPr/>
      </xdr:nvSpPr>
      <xdr:spPr>
        <a:xfrm rot="5400000">
          <a:off x="10904220" y="137160"/>
          <a:ext cx="270510" cy="430530"/>
        </a:xfrm>
        <a:prstGeom prst="bentArrow">
          <a:avLst/>
        </a:prstGeom>
        <a:solidFill>
          <a:schemeClr val="bg1">
            <a:lumMod val="85000"/>
          </a:schemeClr>
        </a:solidFill>
        <a:ln w="22225">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chemeClr val="tx1"/>
            </a:solidFill>
          </a:endParaRPr>
        </a:p>
      </xdr:txBody>
    </xdr:sp>
    <xdr:clientData/>
  </xdr:twoCellAnchor>
  <xdr:twoCellAnchor>
    <xdr:from>
      <xdr:col>18</xdr:col>
      <xdr:colOff>19050</xdr:colOff>
      <xdr:row>28</xdr:row>
      <xdr:rowOff>81915</xdr:rowOff>
    </xdr:from>
    <xdr:to>
      <xdr:col>18</xdr:col>
      <xdr:colOff>325754</xdr:colOff>
      <xdr:row>29</xdr:row>
      <xdr:rowOff>38101</xdr:rowOff>
    </xdr:to>
    <xdr:sp macro="" textlink="$F$16">
      <xdr:nvSpPr>
        <xdr:cNvPr id="17" name="TextBox 16">
          <a:extLst>
            <a:ext uri="{FF2B5EF4-FFF2-40B4-BE49-F238E27FC236}">
              <a16:creationId xmlns:a16="http://schemas.microsoft.com/office/drawing/2014/main" id="{00000000-0008-0000-0C00-000011000000}"/>
            </a:ext>
          </a:extLst>
        </xdr:cNvPr>
        <xdr:cNvSpPr txBox="1"/>
      </xdr:nvSpPr>
      <xdr:spPr>
        <a:xfrm>
          <a:off x="8791575" y="5882640"/>
          <a:ext cx="306704" cy="15621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fld id="{263D66BB-E62C-4EBF-9923-B946FBE9ABDE}" type="TxLink">
            <a:rPr lang="en-US" sz="900" b="1" i="0" u="none" strike="noStrike">
              <a:solidFill>
                <a:sysClr val="windowText" lastClr="000000"/>
              </a:solidFill>
              <a:latin typeface="Calibri"/>
            </a:rPr>
            <a:pPr algn="ctr"/>
            <a:t>M</a:t>
          </a:fld>
          <a:endParaRPr lang="en-US" sz="800" b="1" i="0" u="none" strike="noStrike">
            <a:solidFill>
              <a:sysClr val="windowText" lastClr="000000"/>
            </a:solidFill>
            <a:latin typeface="Calibri"/>
          </a:endParaRP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4</xdr:col>
      <xdr:colOff>91441</xdr:colOff>
      <xdr:row>1</xdr:row>
      <xdr:rowOff>106680</xdr:rowOff>
    </xdr:from>
    <xdr:to>
      <xdr:col>4</xdr:col>
      <xdr:colOff>358141</xdr:colOff>
      <xdr:row>2</xdr:row>
      <xdr:rowOff>260040</xdr:rowOff>
    </xdr:to>
    <xdr:pic>
      <xdr:nvPicPr>
        <xdr:cNvPr id="2" name="Picture 1" descr="logovvsm.jpg">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cstate="print"/>
        <a:stretch>
          <a:fillRect/>
        </a:stretch>
      </xdr:blipFill>
      <xdr:spPr>
        <a:xfrm>
          <a:off x="1432561" y="106680"/>
          <a:ext cx="266700" cy="359100"/>
        </a:xfrm>
        <a:prstGeom prst="roundRect">
          <a:avLst>
            <a:gd name="adj" fmla="val 8594"/>
          </a:avLst>
        </a:prstGeom>
        <a:solidFill>
          <a:srgbClr val="FFFFFF">
            <a:shade val="85000"/>
          </a:srgbClr>
        </a:solidFill>
        <a:ln>
          <a:noFill/>
        </a:ln>
        <a:effectLst>
          <a:outerShdw blurRad="63500" sx="102000" sy="102000" algn="ctr" rotWithShape="0">
            <a:prstClr val="black">
              <a:alpha val="40000"/>
            </a:prstClr>
          </a:outerShdw>
        </a:effectLst>
      </xdr:spPr>
    </xdr:pic>
    <xdr:clientData/>
  </xdr:twoCellAnchor>
  <xdr:twoCellAnchor>
    <xdr:from>
      <xdr:col>4</xdr:col>
      <xdr:colOff>403860</xdr:colOff>
      <xdr:row>1</xdr:row>
      <xdr:rowOff>99060</xdr:rowOff>
    </xdr:from>
    <xdr:to>
      <xdr:col>7</xdr:col>
      <xdr:colOff>251460</xdr:colOff>
      <xdr:row>2</xdr:row>
      <xdr:rowOff>274320</xdr:rowOff>
    </xdr:to>
    <xdr:sp macro="" textlink="REP.gts">
      <xdr:nvSpPr>
        <xdr:cNvPr id="3" name="TextBox 2">
          <a:extLst>
            <a:ext uri="{FF2B5EF4-FFF2-40B4-BE49-F238E27FC236}">
              <a16:creationId xmlns:a16="http://schemas.microsoft.com/office/drawing/2014/main" id="{00000000-0008-0000-0D00-000003000000}"/>
            </a:ext>
          </a:extLst>
        </xdr:cNvPr>
        <xdr:cNvSpPr txBox="1"/>
      </xdr:nvSpPr>
      <xdr:spPr>
        <a:xfrm>
          <a:off x="1744980" y="99060"/>
          <a:ext cx="2011680" cy="381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fld id="{3BA988AB-649B-451C-8315-D0DA89BAC50D}" type="TxLink">
            <a:rPr lang="en-US" sz="900" b="1" i="0" u="none" strike="noStrike">
              <a:solidFill>
                <a:srgbClr val="000000"/>
              </a:solidFill>
              <a:latin typeface="+mn-lt"/>
            </a:rPr>
            <a:pPr algn="l"/>
            <a:t>Global Tourism Solutions (UK) Ltd</a:t>
          </a:fld>
          <a:endParaRPr lang="en-GB" sz="900" b="1">
            <a:latin typeface="+mn-lt"/>
          </a:endParaRPr>
        </a:p>
      </xdr:txBody>
    </xdr:sp>
    <xdr:clientData/>
  </xdr:twoCellAnchor>
  <xdr:twoCellAnchor>
    <xdr:from>
      <xdr:col>4</xdr:col>
      <xdr:colOff>60960</xdr:colOff>
      <xdr:row>3</xdr:row>
      <xdr:rowOff>15240</xdr:rowOff>
    </xdr:from>
    <xdr:to>
      <xdr:col>21</xdr:col>
      <xdr:colOff>45720</xdr:colOff>
      <xdr:row>3</xdr:row>
      <xdr:rowOff>320040</xdr:rowOff>
    </xdr:to>
    <xdr:sp macro="" textlink="">
      <xdr:nvSpPr>
        <xdr:cNvPr id="4" name="Rectangle 3">
          <a:extLst>
            <a:ext uri="{FF2B5EF4-FFF2-40B4-BE49-F238E27FC236}">
              <a16:creationId xmlns:a16="http://schemas.microsoft.com/office/drawing/2014/main" id="{00000000-0008-0000-0D00-000004000000}"/>
            </a:ext>
          </a:extLst>
        </xdr:cNvPr>
        <xdr:cNvSpPr/>
      </xdr:nvSpPr>
      <xdr:spPr>
        <a:xfrm>
          <a:off x="1402080" y="556260"/>
          <a:ext cx="8763000" cy="304800"/>
        </a:xfrm>
        <a:prstGeom prst="rect">
          <a:avLst/>
        </a:prstGeom>
        <a:noFill/>
        <a:ln>
          <a:noFill/>
        </a:ln>
        <a:effectLst>
          <a:outerShdw blurRad="63500" sx="102000" sy="102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lIns="36000" tIns="36000" rIns="36000" bIns="36000" rtlCol="0" anchor="ctr"/>
        <a:lstStyle/>
        <a:p>
          <a:pPr algn="l"/>
          <a:r>
            <a:rPr lang="en-GB" sz="1000" b="1">
              <a:solidFill>
                <a:schemeClr val="bg1"/>
              </a:solidFill>
            </a:rPr>
            <a:t>REPORT CONTROLS </a:t>
          </a:r>
          <a:r>
            <a:rPr lang="en-GB" sz="1000" b="0" i="1">
              <a:solidFill>
                <a:schemeClr val="bg1"/>
              </a:solidFill>
            </a:rPr>
            <a:t>- Please adjust the report outputs</a:t>
          </a:r>
          <a:r>
            <a:rPr lang="en-GB" sz="1000" b="0" i="1" baseline="0">
              <a:solidFill>
                <a:schemeClr val="bg1"/>
              </a:solidFill>
            </a:rPr>
            <a:t> using the drop-down controls below</a:t>
          </a:r>
        </a:p>
      </xdr:txBody>
    </xdr:sp>
    <xdr:clientData fPrintsWithSheet="0"/>
  </xdr:twoCellAnchor>
  <xdr:twoCellAnchor editAs="oneCell">
    <xdr:from>
      <xdr:col>22</xdr:col>
      <xdr:colOff>320041</xdr:colOff>
      <xdr:row>3</xdr:row>
      <xdr:rowOff>45721</xdr:rowOff>
    </xdr:from>
    <xdr:to>
      <xdr:col>23</xdr:col>
      <xdr:colOff>398146</xdr:colOff>
      <xdr:row>4</xdr:row>
      <xdr:rowOff>299165</xdr:rowOff>
    </xdr:to>
    <xdr:pic>
      <xdr:nvPicPr>
        <xdr:cNvPr id="5" name="Picture 4">
          <a:hlinkClick xmlns:r="http://schemas.openxmlformats.org/officeDocument/2006/relationships" r:id="rId2" tooltip="Home - Navigation Page"/>
          <a:extLst>
            <a:ext uri="{FF2B5EF4-FFF2-40B4-BE49-F238E27FC236}">
              <a16:creationId xmlns:a16="http://schemas.microsoft.com/office/drawing/2014/main" id="{00000000-0008-0000-0D00-000005000000}"/>
            </a:ext>
          </a:extLst>
        </xdr:cNvPr>
        <xdr:cNvPicPr>
          <a:picLocks noChangeAspect="1"/>
        </xdr:cNvPicPr>
      </xdr:nvPicPr>
      <xdr:blipFill>
        <a:blip xmlns:r="http://schemas.openxmlformats.org/officeDocument/2006/relationships" r:embed="rId3" cstate="print">
          <a:grayscl/>
          <a:extLst>
            <a:ext uri="{28A0092B-C50C-407E-A947-70E740481C1C}">
              <a14:useLocalDpi xmlns:a14="http://schemas.microsoft.com/office/drawing/2010/main" val="0"/>
            </a:ext>
          </a:extLst>
        </a:blip>
        <a:stretch>
          <a:fillRect/>
        </a:stretch>
      </xdr:blipFill>
      <xdr:spPr>
        <a:xfrm>
          <a:off x="10911841" y="586741"/>
          <a:ext cx="579120" cy="588724"/>
        </a:xfrm>
        <a:prstGeom prst="rect">
          <a:avLst/>
        </a:prstGeom>
      </xdr:spPr>
    </xdr:pic>
    <xdr:clientData/>
  </xdr:twoCellAnchor>
  <xdr:twoCellAnchor>
    <xdr:from>
      <xdr:col>18</xdr:col>
      <xdr:colOff>0</xdr:colOff>
      <xdr:row>29</xdr:row>
      <xdr:rowOff>83820</xdr:rowOff>
    </xdr:from>
    <xdr:to>
      <xdr:col>23</xdr:col>
      <xdr:colOff>457200</xdr:colOff>
      <xdr:row>37</xdr:row>
      <xdr:rowOff>114300</xdr:rowOff>
    </xdr:to>
    <xdr:graphicFrame macro="">
      <xdr:nvGraphicFramePr>
        <xdr:cNvPr id="8" name="Chart 7">
          <a:extLst>
            <a:ext uri="{FF2B5EF4-FFF2-40B4-BE49-F238E27FC236}">
              <a16:creationId xmlns:a16="http://schemas.microsoft.com/office/drawing/2014/main" id="{00000000-0008-0000-0D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131445</xdr:colOff>
      <xdr:row>28</xdr:row>
      <xdr:rowOff>39083</xdr:rowOff>
    </xdr:from>
    <xdr:to>
      <xdr:col>24</xdr:col>
      <xdr:colOff>9525</xdr:colOff>
      <xdr:row>28</xdr:row>
      <xdr:rowOff>161956</xdr:rowOff>
    </xdr:to>
    <xdr:sp macro="" textlink="">
      <xdr:nvSpPr>
        <xdr:cNvPr id="11" name="TextBox 10">
          <a:extLst>
            <a:ext uri="{FF2B5EF4-FFF2-40B4-BE49-F238E27FC236}">
              <a16:creationId xmlns:a16="http://schemas.microsoft.com/office/drawing/2014/main" id="{00000000-0008-0000-0D00-00000B000000}"/>
            </a:ext>
          </a:extLst>
        </xdr:cNvPr>
        <xdr:cNvSpPr txBox="1"/>
      </xdr:nvSpPr>
      <xdr:spPr>
        <a:xfrm>
          <a:off x="8561070" y="5839808"/>
          <a:ext cx="2621280" cy="1228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900" b="1" i="0" u="none" strike="noStrike">
              <a:solidFill>
                <a:schemeClr val="tx1">
                  <a:lumMod val="50000"/>
                  <a:lumOff val="50000"/>
                </a:schemeClr>
              </a:solidFill>
              <a:latin typeface="Calibri"/>
            </a:rPr>
            <a:t>Employment</a:t>
          </a:r>
          <a:r>
            <a:rPr lang="en-US" sz="900" b="1" i="0" u="none" strike="noStrike" baseline="0">
              <a:solidFill>
                <a:schemeClr val="tx1">
                  <a:lumMod val="50000"/>
                  <a:lumOff val="50000"/>
                </a:schemeClr>
              </a:solidFill>
              <a:latin typeface="Calibri"/>
            </a:rPr>
            <a:t> (FTEs) and Share of Total (%)</a:t>
          </a:r>
          <a:endParaRPr lang="en-US" sz="900" b="1" i="0" u="none" strike="noStrike">
            <a:solidFill>
              <a:schemeClr val="tx1">
                <a:lumMod val="50000"/>
                <a:lumOff val="50000"/>
              </a:schemeClr>
            </a:solidFill>
            <a:latin typeface="Calibri"/>
          </a:endParaRPr>
        </a:p>
      </xdr:txBody>
    </xdr:sp>
    <xdr:clientData/>
  </xdr:twoCellAnchor>
  <xdr:twoCellAnchor>
    <xdr:from>
      <xdr:col>17</xdr:col>
      <xdr:colOff>274320</xdr:colOff>
      <xdr:row>3</xdr:row>
      <xdr:rowOff>304801</xdr:rowOff>
    </xdr:from>
    <xdr:to>
      <xdr:col>21</xdr:col>
      <xdr:colOff>184560</xdr:colOff>
      <xdr:row>4</xdr:row>
      <xdr:rowOff>329521</xdr:rowOff>
    </xdr:to>
    <xdr:sp macro="" textlink="">
      <xdr:nvSpPr>
        <xdr:cNvPr id="14" name="Rectangle 13">
          <a:extLst>
            <a:ext uri="{FF2B5EF4-FFF2-40B4-BE49-F238E27FC236}">
              <a16:creationId xmlns:a16="http://schemas.microsoft.com/office/drawing/2014/main" id="{00000000-0008-0000-0D00-00000E000000}"/>
            </a:ext>
          </a:extLst>
        </xdr:cNvPr>
        <xdr:cNvSpPr/>
      </xdr:nvSpPr>
      <xdr:spPr>
        <a:xfrm>
          <a:off x="8503920" y="845821"/>
          <a:ext cx="1800000" cy="360000"/>
        </a:xfrm>
        <a:prstGeom prst="rect">
          <a:avLst/>
        </a:prstGeom>
        <a:noFill/>
        <a:ln>
          <a:noFill/>
        </a:ln>
        <a:effectLst>
          <a:outerShdw blurRad="63500" sx="101000" sy="101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lIns="36000" tIns="36000" rIns="36000" bIns="36000" rtlCol="0" anchor="ctr"/>
        <a:lstStyle/>
        <a:p>
          <a:pPr algn="ctr"/>
          <a:r>
            <a:rPr lang="en-GB" sz="900" b="1">
              <a:solidFill>
                <a:schemeClr val="bg1"/>
              </a:solidFill>
            </a:rPr>
            <a:t>HIGHLIGHT</a:t>
          </a:r>
          <a:r>
            <a:rPr lang="en-GB" sz="900" b="1" baseline="0">
              <a:solidFill>
                <a:schemeClr val="bg1"/>
              </a:solidFill>
            </a:rPr>
            <a:t> % CHANGES</a:t>
          </a:r>
        </a:p>
        <a:p>
          <a:pPr algn="ctr"/>
          <a:r>
            <a:rPr lang="en-GB" sz="900" b="1" baseline="0">
              <a:solidFill>
                <a:schemeClr val="bg1"/>
              </a:solidFill>
            </a:rPr>
            <a:t>GREATER THAN OR EQUAL TO:</a:t>
          </a:r>
        </a:p>
      </xdr:txBody>
    </xdr:sp>
    <xdr:clientData fPrintsWithSheet="0"/>
  </xdr:twoCellAnchor>
  <mc:AlternateContent xmlns:mc="http://schemas.openxmlformats.org/markup-compatibility/2006">
    <mc:Choice xmlns:a14="http://schemas.microsoft.com/office/drawing/2010/main" Requires="a14">
      <xdr:twoCellAnchor editAs="oneCell">
        <xdr:from>
          <xdr:col>21</xdr:col>
          <xdr:colOff>175260</xdr:colOff>
          <xdr:row>4</xdr:row>
          <xdr:rowOff>22860</xdr:rowOff>
        </xdr:from>
        <xdr:to>
          <xdr:col>22</xdr:col>
          <xdr:colOff>259080</xdr:colOff>
          <xdr:row>4</xdr:row>
          <xdr:rowOff>297180</xdr:rowOff>
        </xdr:to>
        <xdr:sp macro="" textlink="">
          <xdr:nvSpPr>
            <xdr:cNvPr id="119811" name="Drop Down 3" hidden="1">
              <a:extLst>
                <a:ext uri="{63B3BB69-23CF-44E3-9099-C40C66FF867C}">
                  <a14:compatExt spid="_x0000_s119811"/>
                </a:ext>
                <a:ext uri="{FF2B5EF4-FFF2-40B4-BE49-F238E27FC236}">
                  <a16:creationId xmlns:a16="http://schemas.microsoft.com/office/drawing/2014/main" id="{00000000-0008-0000-0D00-000003D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7</xdr:col>
      <xdr:colOff>403860</xdr:colOff>
      <xdr:row>3</xdr:row>
      <xdr:rowOff>304800</xdr:rowOff>
    </xdr:from>
    <xdr:to>
      <xdr:col>9</xdr:col>
      <xdr:colOff>411480</xdr:colOff>
      <xdr:row>4</xdr:row>
      <xdr:rowOff>329520</xdr:rowOff>
    </xdr:to>
    <xdr:sp macro="" textlink="">
      <xdr:nvSpPr>
        <xdr:cNvPr id="16" name="Rectangle 15">
          <a:extLst>
            <a:ext uri="{FF2B5EF4-FFF2-40B4-BE49-F238E27FC236}">
              <a16:creationId xmlns:a16="http://schemas.microsoft.com/office/drawing/2014/main" id="{00000000-0008-0000-0D00-000010000000}"/>
            </a:ext>
          </a:extLst>
        </xdr:cNvPr>
        <xdr:cNvSpPr/>
      </xdr:nvSpPr>
      <xdr:spPr>
        <a:xfrm>
          <a:off x="3909060" y="845820"/>
          <a:ext cx="952500" cy="360000"/>
        </a:xfrm>
        <a:prstGeom prst="rect">
          <a:avLst/>
        </a:prstGeom>
        <a:noFill/>
        <a:ln>
          <a:noFill/>
        </a:ln>
        <a:effectLst>
          <a:outerShdw blurRad="63500" sx="101000" sy="101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lIns="36000" tIns="36000" rIns="36000" bIns="36000" rtlCol="0" anchor="ctr"/>
        <a:lstStyle/>
        <a:p>
          <a:pPr algn="ctr"/>
          <a:r>
            <a:rPr lang="en-GB" sz="900" b="1">
              <a:solidFill>
                <a:schemeClr val="bg1"/>
              </a:solidFill>
            </a:rPr>
            <a:t>VISITOR</a:t>
          </a:r>
        </a:p>
        <a:p>
          <a:pPr algn="ctr"/>
          <a:r>
            <a:rPr lang="en-GB" sz="900" b="1">
              <a:solidFill>
                <a:schemeClr val="bg1"/>
              </a:solidFill>
            </a:rPr>
            <a:t>TYPE</a:t>
          </a:r>
        </a:p>
      </xdr:txBody>
    </xdr:sp>
    <xdr:clientData fPrintsWithSheet="0"/>
  </xdr:twoCellAnchor>
  <mc:AlternateContent xmlns:mc="http://schemas.openxmlformats.org/markup-compatibility/2006">
    <mc:Choice xmlns:a14="http://schemas.microsoft.com/office/drawing/2010/main" Requires="a14">
      <xdr:twoCellAnchor editAs="oneCell">
        <xdr:from>
          <xdr:col>9</xdr:col>
          <xdr:colOff>175260</xdr:colOff>
          <xdr:row>4</xdr:row>
          <xdr:rowOff>22860</xdr:rowOff>
        </xdr:from>
        <xdr:to>
          <xdr:col>13</xdr:col>
          <xdr:colOff>144780</xdr:colOff>
          <xdr:row>4</xdr:row>
          <xdr:rowOff>297180</xdr:rowOff>
        </xdr:to>
        <xdr:sp macro="" textlink="">
          <xdr:nvSpPr>
            <xdr:cNvPr id="119812" name="Drop Down 4" hidden="1">
              <a:extLst>
                <a:ext uri="{63B3BB69-23CF-44E3-9099-C40C66FF867C}">
                  <a14:compatExt spid="_x0000_s119812"/>
                </a:ext>
                <a:ext uri="{FF2B5EF4-FFF2-40B4-BE49-F238E27FC236}">
                  <a16:creationId xmlns:a16="http://schemas.microsoft.com/office/drawing/2014/main" id="{00000000-0008-0000-0D00-000004D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7</xdr:col>
      <xdr:colOff>236220</xdr:colOff>
      <xdr:row>1</xdr:row>
      <xdr:rowOff>91440</xdr:rowOff>
    </xdr:from>
    <xdr:to>
      <xdr:col>22</xdr:col>
      <xdr:colOff>182880</xdr:colOff>
      <xdr:row>2</xdr:row>
      <xdr:rowOff>190500</xdr:rowOff>
    </xdr:to>
    <xdr:sp macro="" textlink="">
      <xdr:nvSpPr>
        <xdr:cNvPr id="15" name="Rectangle 14">
          <a:extLst>
            <a:ext uri="{FF2B5EF4-FFF2-40B4-BE49-F238E27FC236}">
              <a16:creationId xmlns:a16="http://schemas.microsoft.com/office/drawing/2014/main" id="{00000000-0008-0000-0D00-00000F000000}"/>
            </a:ext>
          </a:extLst>
        </xdr:cNvPr>
        <xdr:cNvSpPr/>
      </xdr:nvSpPr>
      <xdr:spPr>
        <a:xfrm>
          <a:off x="3741420" y="91440"/>
          <a:ext cx="7033260" cy="304800"/>
        </a:xfrm>
        <a:prstGeom prst="rect">
          <a:avLst/>
        </a:prstGeom>
        <a:noFill/>
        <a:ln>
          <a:noFill/>
        </a:ln>
        <a:effectLst>
          <a:outerShdw blurRad="63500" sx="102000" sy="102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lIns="36000" tIns="36000" rIns="36000" bIns="36000" rtlCol="0" anchor="ctr"/>
        <a:lstStyle/>
        <a:p>
          <a:pPr algn="r"/>
          <a:r>
            <a:rPr lang="en-GB" sz="1000" b="1">
              <a:solidFill>
                <a:schemeClr val="tx1">
                  <a:lumMod val="65000"/>
                  <a:lumOff val="35000"/>
                </a:schemeClr>
              </a:solidFill>
            </a:rPr>
            <a:t>Pressing this on-screen "Home" button on</a:t>
          </a:r>
          <a:r>
            <a:rPr lang="en-GB" sz="1000" b="1" baseline="0">
              <a:solidFill>
                <a:schemeClr val="tx1">
                  <a:lumMod val="65000"/>
                  <a:lumOff val="35000"/>
                </a:schemeClr>
              </a:solidFill>
            </a:rPr>
            <a:t> any sheet of the report takes you back to the navigation page</a:t>
          </a:r>
          <a:endParaRPr lang="en-GB" sz="1000" b="0" i="1" baseline="0">
            <a:solidFill>
              <a:schemeClr val="tx1">
                <a:lumMod val="65000"/>
                <a:lumOff val="35000"/>
              </a:schemeClr>
            </a:solidFill>
          </a:endParaRPr>
        </a:p>
      </xdr:txBody>
    </xdr:sp>
    <xdr:clientData fPrintsWithSheet="0"/>
  </xdr:twoCellAnchor>
  <xdr:twoCellAnchor>
    <xdr:from>
      <xdr:col>22</xdr:col>
      <xdr:colOff>232410</xdr:colOff>
      <xdr:row>2</xdr:row>
      <xdr:rowOff>11430</xdr:rowOff>
    </xdr:from>
    <xdr:to>
      <xdr:col>23</xdr:col>
      <xdr:colOff>190500</xdr:colOff>
      <xdr:row>2</xdr:row>
      <xdr:rowOff>281940</xdr:rowOff>
    </xdr:to>
    <xdr:sp macro="" textlink="">
      <xdr:nvSpPr>
        <xdr:cNvPr id="17" name="Bent Arrow 16">
          <a:extLst>
            <a:ext uri="{FF2B5EF4-FFF2-40B4-BE49-F238E27FC236}">
              <a16:creationId xmlns:a16="http://schemas.microsoft.com/office/drawing/2014/main" id="{00000000-0008-0000-0D00-000011000000}"/>
            </a:ext>
          </a:extLst>
        </xdr:cNvPr>
        <xdr:cNvSpPr/>
      </xdr:nvSpPr>
      <xdr:spPr>
        <a:xfrm rot="5400000">
          <a:off x="10904220" y="137160"/>
          <a:ext cx="270510" cy="430530"/>
        </a:xfrm>
        <a:prstGeom prst="bentArrow">
          <a:avLst/>
        </a:prstGeom>
        <a:solidFill>
          <a:schemeClr val="bg1">
            <a:lumMod val="85000"/>
          </a:schemeClr>
        </a:solidFill>
        <a:ln w="22225">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chemeClr val="tx1"/>
            </a:solidFill>
          </a:endParaRPr>
        </a:p>
      </xdr:txBody>
    </xdr:sp>
    <xdr:clientData/>
  </xdr:twoCellAnchor>
  <xdr:twoCellAnchor>
    <xdr:from>
      <xdr:col>18</xdr:col>
      <xdr:colOff>36195</xdr:colOff>
      <xdr:row>28</xdr:row>
      <xdr:rowOff>85725</xdr:rowOff>
    </xdr:from>
    <xdr:to>
      <xdr:col>18</xdr:col>
      <xdr:colOff>342899</xdr:colOff>
      <xdr:row>29</xdr:row>
      <xdr:rowOff>41911</xdr:rowOff>
    </xdr:to>
    <xdr:sp macro="" textlink="$F$16">
      <xdr:nvSpPr>
        <xdr:cNvPr id="18" name="TextBox 17">
          <a:extLst>
            <a:ext uri="{FF2B5EF4-FFF2-40B4-BE49-F238E27FC236}">
              <a16:creationId xmlns:a16="http://schemas.microsoft.com/office/drawing/2014/main" id="{00000000-0008-0000-0D00-000012000000}"/>
            </a:ext>
          </a:extLst>
        </xdr:cNvPr>
        <xdr:cNvSpPr txBox="1"/>
      </xdr:nvSpPr>
      <xdr:spPr>
        <a:xfrm>
          <a:off x="8808720" y="5886450"/>
          <a:ext cx="306704" cy="15621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fld id="{263D66BB-E62C-4EBF-9923-B946FBE9ABDE}" type="TxLink">
            <a:rPr lang="en-US" sz="900" b="1" i="0" u="none" strike="noStrike">
              <a:solidFill>
                <a:sysClr val="windowText" lastClr="000000"/>
              </a:solidFill>
              <a:latin typeface="Calibri"/>
            </a:rPr>
            <a:pPr algn="ctr"/>
            <a:t>FTEs</a:t>
          </a:fld>
          <a:endParaRPr lang="en-US" sz="800" b="1" i="0" u="none" strike="noStrike">
            <a:solidFill>
              <a:sysClr val="windowText" lastClr="000000"/>
            </a:solidFill>
            <a:latin typeface="Calibri"/>
          </a:endParaRP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12</xdr:col>
      <xdr:colOff>285750</xdr:colOff>
      <xdr:row>4</xdr:row>
      <xdr:rowOff>152400</xdr:rowOff>
    </xdr:from>
    <xdr:to>
      <xdr:col>16</xdr:col>
      <xdr:colOff>138840</xdr:colOff>
      <xdr:row>4</xdr:row>
      <xdr:rowOff>314326</xdr:rowOff>
    </xdr:to>
    <xdr:sp macro="" textlink="">
      <xdr:nvSpPr>
        <xdr:cNvPr id="4" name="Rectangle 3">
          <a:extLst>
            <a:ext uri="{FF2B5EF4-FFF2-40B4-BE49-F238E27FC236}">
              <a16:creationId xmlns:a16="http://schemas.microsoft.com/office/drawing/2014/main" id="{00000000-0008-0000-0E00-000004000000}"/>
            </a:ext>
          </a:extLst>
        </xdr:cNvPr>
        <xdr:cNvSpPr/>
      </xdr:nvSpPr>
      <xdr:spPr>
        <a:xfrm>
          <a:off x="6143625" y="1019175"/>
          <a:ext cx="1796190" cy="161926"/>
        </a:xfrm>
        <a:prstGeom prst="rect">
          <a:avLst/>
        </a:prstGeom>
        <a:solidFill>
          <a:schemeClr val="accent1"/>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lIns="0" tIns="0" rIns="0" bIns="0" rtlCol="0" anchor="ctr"/>
        <a:lstStyle/>
        <a:p>
          <a:pPr algn="ctr"/>
          <a:r>
            <a:rPr lang="en-GB" sz="900" b="0">
              <a:solidFill>
                <a:schemeClr val="bg1"/>
              </a:solidFill>
            </a:rPr>
            <a:t>Reflect Price</a:t>
          </a:r>
          <a:r>
            <a:rPr lang="en-GB" sz="900" b="0" baseline="0">
              <a:solidFill>
                <a:schemeClr val="bg1"/>
              </a:solidFill>
            </a:rPr>
            <a:t> Inflation?</a:t>
          </a:r>
          <a:endParaRPr lang="en-GB" sz="900" b="0">
            <a:solidFill>
              <a:schemeClr val="bg1"/>
            </a:solidFill>
          </a:endParaRPr>
        </a:p>
      </xdr:txBody>
    </xdr:sp>
    <xdr:clientData fPrintsWithSheet="0"/>
  </xdr:twoCellAnchor>
  <xdr:twoCellAnchor>
    <xdr:from>
      <xdr:col>12</xdr:col>
      <xdr:colOff>285750</xdr:colOff>
      <xdr:row>4</xdr:row>
      <xdr:rowOff>1</xdr:rowOff>
    </xdr:from>
    <xdr:to>
      <xdr:col>16</xdr:col>
      <xdr:colOff>138840</xdr:colOff>
      <xdr:row>4</xdr:row>
      <xdr:rowOff>158328</xdr:rowOff>
    </xdr:to>
    <xdr:sp macro="" textlink="M5">
      <xdr:nvSpPr>
        <xdr:cNvPr id="5" name="Rectangle 4">
          <a:extLst>
            <a:ext uri="{FF2B5EF4-FFF2-40B4-BE49-F238E27FC236}">
              <a16:creationId xmlns:a16="http://schemas.microsoft.com/office/drawing/2014/main" id="{00000000-0008-0000-0E00-000005000000}"/>
            </a:ext>
          </a:extLst>
        </xdr:cNvPr>
        <xdr:cNvSpPr/>
      </xdr:nvSpPr>
      <xdr:spPr>
        <a:xfrm>
          <a:off x="6143625" y="866776"/>
          <a:ext cx="1796190" cy="158327"/>
        </a:xfrm>
        <a:prstGeom prst="rect">
          <a:avLst/>
        </a:prstGeom>
        <a:solidFill>
          <a:schemeClr val="accent1"/>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lIns="0" tIns="0" rIns="0" bIns="0" rtlCol="0" anchor="ctr"/>
        <a:lstStyle/>
        <a:p>
          <a:pPr algn="ctr"/>
          <a:fld id="{E78AF480-5E6A-4795-BF5C-6A90553519FD}" type="TxLink">
            <a:rPr lang="en-US" sz="900" b="1" i="0" u="none" strike="noStrike">
              <a:solidFill>
                <a:schemeClr val="bg1"/>
              </a:solidFill>
              <a:latin typeface="Calibri"/>
            </a:rPr>
            <a:pPr algn="ctr"/>
            <a:t>INDEXATION TO 2022 PRICES</a:t>
          </a:fld>
          <a:endParaRPr lang="en-GB" sz="900" b="1">
            <a:solidFill>
              <a:schemeClr val="bg1"/>
            </a:solidFill>
          </a:endParaRPr>
        </a:p>
      </xdr:txBody>
    </xdr:sp>
    <xdr:clientData fPrintsWithSheet="0"/>
  </xdr:twoCellAnchor>
  <xdr:twoCellAnchor>
    <xdr:from>
      <xdr:col>4</xdr:col>
      <xdr:colOff>91441</xdr:colOff>
      <xdr:row>1</xdr:row>
      <xdr:rowOff>106680</xdr:rowOff>
    </xdr:from>
    <xdr:to>
      <xdr:col>4</xdr:col>
      <xdr:colOff>358141</xdr:colOff>
      <xdr:row>2</xdr:row>
      <xdr:rowOff>260040</xdr:rowOff>
    </xdr:to>
    <xdr:pic>
      <xdr:nvPicPr>
        <xdr:cNvPr id="6" name="Picture 5" descr="logovvsm.jpg">
          <a:extLst>
            <a:ext uri="{FF2B5EF4-FFF2-40B4-BE49-F238E27FC236}">
              <a16:creationId xmlns:a16="http://schemas.microsoft.com/office/drawing/2014/main" id="{00000000-0008-0000-0E00-000006000000}"/>
            </a:ext>
          </a:extLst>
        </xdr:cNvPr>
        <xdr:cNvPicPr>
          <a:picLocks noChangeAspect="1"/>
        </xdr:cNvPicPr>
      </xdr:nvPicPr>
      <xdr:blipFill>
        <a:blip xmlns:r="http://schemas.openxmlformats.org/officeDocument/2006/relationships" r:embed="rId1" cstate="print"/>
        <a:stretch>
          <a:fillRect/>
        </a:stretch>
      </xdr:blipFill>
      <xdr:spPr>
        <a:xfrm>
          <a:off x="1386841" y="106680"/>
          <a:ext cx="266700" cy="353385"/>
        </a:xfrm>
        <a:prstGeom prst="roundRect">
          <a:avLst>
            <a:gd name="adj" fmla="val 8594"/>
          </a:avLst>
        </a:prstGeom>
        <a:solidFill>
          <a:srgbClr val="FFFFFF">
            <a:shade val="85000"/>
          </a:srgbClr>
        </a:solidFill>
        <a:ln>
          <a:noFill/>
        </a:ln>
        <a:effectLst>
          <a:outerShdw blurRad="63500" sx="102000" sy="102000" algn="ctr" rotWithShape="0">
            <a:prstClr val="black">
              <a:alpha val="40000"/>
            </a:prstClr>
          </a:outerShdw>
        </a:effectLst>
      </xdr:spPr>
    </xdr:pic>
    <xdr:clientData/>
  </xdr:twoCellAnchor>
  <xdr:twoCellAnchor>
    <xdr:from>
      <xdr:col>4</xdr:col>
      <xdr:colOff>403860</xdr:colOff>
      <xdr:row>1</xdr:row>
      <xdr:rowOff>99060</xdr:rowOff>
    </xdr:from>
    <xdr:to>
      <xdr:col>7</xdr:col>
      <xdr:colOff>251460</xdr:colOff>
      <xdr:row>2</xdr:row>
      <xdr:rowOff>274320</xdr:rowOff>
    </xdr:to>
    <xdr:sp macro="" textlink="REP.gts">
      <xdr:nvSpPr>
        <xdr:cNvPr id="7" name="TextBox 6">
          <a:extLst>
            <a:ext uri="{FF2B5EF4-FFF2-40B4-BE49-F238E27FC236}">
              <a16:creationId xmlns:a16="http://schemas.microsoft.com/office/drawing/2014/main" id="{00000000-0008-0000-0E00-000007000000}"/>
            </a:ext>
          </a:extLst>
        </xdr:cNvPr>
        <xdr:cNvSpPr txBox="1"/>
      </xdr:nvSpPr>
      <xdr:spPr>
        <a:xfrm>
          <a:off x="1699260" y="99060"/>
          <a:ext cx="1981200" cy="37528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fld id="{3BA988AB-649B-451C-8315-D0DA89BAC50D}" type="TxLink">
            <a:rPr lang="en-US" sz="900" b="1" i="0" u="none" strike="noStrike">
              <a:solidFill>
                <a:srgbClr val="000000"/>
              </a:solidFill>
              <a:latin typeface="+mn-lt"/>
            </a:rPr>
            <a:pPr algn="l"/>
            <a:t>Global Tourism Solutions (UK) Ltd</a:t>
          </a:fld>
          <a:endParaRPr lang="en-GB" sz="900" b="1">
            <a:latin typeface="+mn-lt"/>
          </a:endParaRPr>
        </a:p>
      </xdr:txBody>
    </xdr:sp>
    <xdr:clientData/>
  </xdr:twoCellAnchor>
  <xdr:twoCellAnchor>
    <xdr:from>
      <xdr:col>4</xdr:col>
      <xdr:colOff>60960</xdr:colOff>
      <xdr:row>3</xdr:row>
      <xdr:rowOff>15240</xdr:rowOff>
    </xdr:from>
    <xdr:to>
      <xdr:col>21</xdr:col>
      <xdr:colOff>45720</xdr:colOff>
      <xdr:row>3</xdr:row>
      <xdr:rowOff>320040</xdr:rowOff>
    </xdr:to>
    <xdr:sp macro="" textlink="">
      <xdr:nvSpPr>
        <xdr:cNvPr id="8" name="Rectangle 7">
          <a:extLst>
            <a:ext uri="{FF2B5EF4-FFF2-40B4-BE49-F238E27FC236}">
              <a16:creationId xmlns:a16="http://schemas.microsoft.com/office/drawing/2014/main" id="{00000000-0008-0000-0E00-000008000000}"/>
            </a:ext>
          </a:extLst>
        </xdr:cNvPr>
        <xdr:cNvSpPr/>
      </xdr:nvSpPr>
      <xdr:spPr>
        <a:xfrm>
          <a:off x="1356360" y="548640"/>
          <a:ext cx="8919210" cy="304800"/>
        </a:xfrm>
        <a:prstGeom prst="rect">
          <a:avLst/>
        </a:prstGeom>
        <a:noFill/>
        <a:ln>
          <a:noFill/>
        </a:ln>
        <a:effectLst>
          <a:outerShdw blurRad="63500" sx="102000" sy="102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lIns="36000" tIns="36000" rIns="36000" bIns="36000" rtlCol="0" anchor="ctr"/>
        <a:lstStyle/>
        <a:p>
          <a:pPr algn="l"/>
          <a:r>
            <a:rPr lang="en-GB" sz="1000" b="1">
              <a:solidFill>
                <a:schemeClr val="bg1"/>
              </a:solidFill>
            </a:rPr>
            <a:t>REPORT CONTROLS </a:t>
          </a:r>
          <a:r>
            <a:rPr lang="en-GB" sz="1000" b="0" i="1">
              <a:solidFill>
                <a:schemeClr val="bg1"/>
              </a:solidFill>
            </a:rPr>
            <a:t>- Please adjust the report outputs</a:t>
          </a:r>
          <a:r>
            <a:rPr lang="en-GB" sz="1000" b="0" i="1" baseline="0">
              <a:solidFill>
                <a:schemeClr val="bg1"/>
              </a:solidFill>
            </a:rPr>
            <a:t> using the drop-down controls below</a:t>
          </a:r>
        </a:p>
      </xdr:txBody>
    </xdr:sp>
    <xdr:clientData fPrintsWithSheet="0"/>
  </xdr:twoCellAnchor>
  <xdr:twoCellAnchor editAs="oneCell">
    <xdr:from>
      <xdr:col>22</xdr:col>
      <xdr:colOff>320041</xdr:colOff>
      <xdr:row>3</xdr:row>
      <xdr:rowOff>45721</xdr:rowOff>
    </xdr:from>
    <xdr:to>
      <xdr:col>23</xdr:col>
      <xdr:colOff>398146</xdr:colOff>
      <xdr:row>4</xdr:row>
      <xdr:rowOff>299165</xdr:rowOff>
    </xdr:to>
    <xdr:pic>
      <xdr:nvPicPr>
        <xdr:cNvPr id="9" name="Picture 8">
          <a:hlinkClick xmlns:r="http://schemas.openxmlformats.org/officeDocument/2006/relationships" r:id="rId2" tooltip="Home - Navigation Page"/>
          <a:extLst>
            <a:ext uri="{FF2B5EF4-FFF2-40B4-BE49-F238E27FC236}">
              <a16:creationId xmlns:a16="http://schemas.microsoft.com/office/drawing/2014/main" id="{00000000-0008-0000-0E00-000009000000}"/>
            </a:ext>
          </a:extLst>
        </xdr:cNvPr>
        <xdr:cNvPicPr>
          <a:picLocks noChangeAspect="1"/>
        </xdr:cNvPicPr>
      </xdr:nvPicPr>
      <xdr:blipFill>
        <a:blip xmlns:r="http://schemas.openxmlformats.org/officeDocument/2006/relationships" r:embed="rId3" cstate="print">
          <a:grayscl/>
          <a:extLst>
            <a:ext uri="{28A0092B-C50C-407E-A947-70E740481C1C}">
              <a14:useLocalDpi xmlns:a14="http://schemas.microsoft.com/office/drawing/2010/main" val="0"/>
            </a:ext>
          </a:extLst>
        </a:blip>
        <a:stretch>
          <a:fillRect/>
        </a:stretch>
      </xdr:blipFill>
      <xdr:spPr>
        <a:xfrm>
          <a:off x="11035666" y="579121"/>
          <a:ext cx="563880" cy="586819"/>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16</xdr:col>
          <xdr:colOff>76200</xdr:colOff>
          <xdr:row>4</xdr:row>
          <xdr:rowOff>22860</xdr:rowOff>
        </xdr:from>
        <xdr:to>
          <xdr:col>17</xdr:col>
          <xdr:colOff>297180</xdr:colOff>
          <xdr:row>4</xdr:row>
          <xdr:rowOff>297180</xdr:rowOff>
        </xdr:to>
        <xdr:sp macro="" textlink="">
          <xdr:nvSpPr>
            <xdr:cNvPr id="229377" name="Drop Down 1" hidden="1">
              <a:extLst>
                <a:ext uri="{63B3BB69-23CF-44E3-9099-C40C66FF867C}">
                  <a14:compatExt spid="_x0000_s229377"/>
                </a:ext>
                <a:ext uri="{FF2B5EF4-FFF2-40B4-BE49-F238E27FC236}">
                  <a16:creationId xmlns:a16="http://schemas.microsoft.com/office/drawing/2014/main" id="{00000000-0008-0000-0E00-0000018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7</xdr:col>
      <xdr:colOff>236220</xdr:colOff>
      <xdr:row>1</xdr:row>
      <xdr:rowOff>91440</xdr:rowOff>
    </xdr:from>
    <xdr:to>
      <xdr:col>22</xdr:col>
      <xdr:colOff>182880</xdr:colOff>
      <xdr:row>2</xdr:row>
      <xdr:rowOff>190500</xdr:rowOff>
    </xdr:to>
    <xdr:sp macro="" textlink="">
      <xdr:nvSpPr>
        <xdr:cNvPr id="11" name="Rectangle 10">
          <a:extLst>
            <a:ext uri="{FF2B5EF4-FFF2-40B4-BE49-F238E27FC236}">
              <a16:creationId xmlns:a16="http://schemas.microsoft.com/office/drawing/2014/main" id="{00000000-0008-0000-0E00-00000B000000}"/>
            </a:ext>
          </a:extLst>
        </xdr:cNvPr>
        <xdr:cNvSpPr/>
      </xdr:nvSpPr>
      <xdr:spPr>
        <a:xfrm>
          <a:off x="3665220" y="91440"/>
          <a:ext cx="7233285" cy="299085"/>
        </a:xfrm>
        <a:prstGeom prst="rect">
          <a:avLst/>
        </a:prstGeom>
        <a:noFill/>
        <a:ln>
          <a:noFill/>
        </a:ln>
        <a:effectLst>
          <a:outerShdw blurRad="63500" sx="102000" sy="102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lIns="36000" tIns="36000" rIns="36000" bIns="36000" rtlCol="0" anchor="ctr"/>
        <a:lstStyle/>
        <a:p>
          <a:pPr algn="r"/>
          <a:r>
            <a:rPr lang="en-GB" sz="1000" b="1">
              <a:solidFill>
                <a:schemeClr val="tx1">
                  <a:lumMod val="65000"/>
                  <a:lumOff val="35000"/>
                </a:schemeClr>
              </a:solidFill>
            </a:rPr>
            <a:t>Pressing this on-screen "Home" button on</a:t>
          </a:r>
          <a:r>
            <a:rPr lang="en-GB" sz="1000" b="1" baseline="0">
              <a:solidFill>
                <a:schemeClr val="tx1">
                  <a:lumMod val="65000"/>
                  <a:lumOff val="35000"/>
                </a:schemeClr>
              </a:solidFill>
            </a:rPr>
            <a:t> any sheet of the report takes you back to the navigation page</a:t>
          </a:r>
          <a:endParaRPr lang="en-GB" sz="1000" b="0" i="1" baseline="0">
            <a:solidFill>
              <a:schemeClr val="tx1">
                <a:lumMod val="65000"/>
                <a:lumOff val="35000"/>
              </a:schemeClr>
            </a:solidFill>
          </a:endParaRPr>
        </a:p>
      </xdr:txBody>
    </xdr:sp>
    <xdr:clientData fPrintsWithSheet="0"/>
  </xdr:twoCellAnchor>
  <xdr:twoCellAnchor>
    <xdr:from>
      <xdr:col>22</xdr:col>
      <xdr:colOff>232410</xdr:colOff>
      <xdr:row>2</xdr:row>
      <xdr:rowOff>11430</xdr:rowOff>
    </xdr:from>
    <xdr:to>
      <xdr:col>23</xdr:col>
      <xdr:colOff>190500</xdr:colOff>
      <xdr:row>2</xdr:row>
      <xdr:rowOff>281940</xdr:rowOff>
    </xdr:to>
    <xdr:sp macro="" textlink="">
      <xdr:nvSpPr>
        <xdr:cNvPr id="12" name="Bent Arrow 11">
          <a:extLst>
            <a:ext uri="{FF2B5EF4-FFF2-40B4-BE49-F238E27FC236}">
              <a16:creationId xmlns:a16="http://schemas.microsoft.com/office/drawing/2014/main" id="{00000000-0008-0000-0E00-00000C000000}"/>
            </a:ext>
          </a:extLst>
        </xdr:cNvPr>
        <xdr:cNvSpPr/>
      </xdr:nvSpPr>
      <xdr:spPr>
        <a:xfrm rot="5400000">
          <a:off x="11034713" y="124777"/>
          <a:ext cx="270510" cy="443865"/>
        </a:xfrm>
        <a:prstGeom prst="bentArrow">
          <a:avLst/>
        </a:prstGeom>
        <a:solidFill>
          <a:schemeClr val="bg1">
            <a:lumMod val="85000"/>
          </a:schemeClr>
        </a:solidFill>
        <a:ln w="22225">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chemeClr val="tx1"/>
            </a:solidFill>
          </a:endParaRPr>
        </a:p>
      </xdr:txBody>
    </xdr:sp>
    <xdr:clientData/>
  </xdr:twoCellAnchor>
  <xdr:twoCellAnchor>
    <xdr:from>
      <xdr:col>4</xdr:col>
      <xdr:colOff>19050</xdr:colOff>
      <xdr:row>4</xdr:row>
      <xdr:rowOff>0</xdr:rowOff>
    </xdr:from>
    <xdr:to>
      <xdr:col>5</xdr:col>
      <xdr:colOff>339090</xdr:colOff>
      <xdr:row>4</xdr:row>
      <xdr:rowOff>327660</xdr:rowOff>
    </xdr:to>
    <xdr:sp macro="" textlink="">
      <xdr:nvSpPr>
        <xdr:cNvPr id="14" name="Rectangle 13">
          <a:extLst>
            <a:ext uri="{FF2B5EF4-FFF2-40B4-BE49-F238E27FC236}">
              <a16:creationId xmlns:a16="http://schemas.microsoft.com/office/drawing/2014/main" id="{00000000-0008-0000-0E00-00000E000000}"/>
            </a:ext>
          </a:extLst>
        </xdr:cNvPr>
        <xdr:cNvSpPr/>
      </xdr:nvSpPr>
      <xdr:spPr>
        <a:xfrm>
          <a:off x="1314450" y="866775"/>
          <a:ext cx="1624965" cy="327660"/>
        </a:xfrm>
        <a:prstGeom prst="rect">
          <a:avLst/>
        </a:prstGeom>
        <a:solidFill>
          <a:srgbClr val="00B0F0"/>
        </a:solidFill>
        <a:ln>
          <a:noFill/>
        </a:ln>
        <a:effectLst>
          <a:outerShdw blurRad="63500" sx="101000" sy="101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lIns="0" tIns="0" rIns="0" bIns="0" rtlCol="0" anchor="ctr"/>
        <a:lstStyle/>
        <a:p>
          <a:pPr algn="ctr"/>
          <a:r>
            <a:rPr lang="en-GB" sz="900" b="1" baseline="0">
              <a:solidFill>
                <a:schemeClr val="bg1"/>
              </a:solidFill>
            </a:rPr>
            <a:t>CHARTS SHOW</a:t>
          </a:r>
        </a:p>
      </xdr:txBody>
    </xdr:sp>
    <xdr:clientData fPrintsWithSheet="0"/>
  </xdr:twoCellAnchor>
  <mc:AlternateContent xmlns:mc="http://schemas.openxmlformats.org/markup-compatibility/2006">
    <mc:Choice xmlns:a14="http://schemas.microsoft.com/office/drawing/2010/main" Requires="a14">
      <xdr:twoCellAnchor editAs="oneCell">
        <xdr:from>
          <xdr:col>5</xdr:col>
          <xdr:colOff>335280</xdr:colOff>
          <xdr:row>4</xdr:row>
          <xdr:rowOff>22860</xdr:rowOff>
        </xdr:from>
        <xdr:to>
          <xdr:col>7</xdr:col>
          <xdr:colOff>198120</xdr:colOff>
          <xdr:row>4</xdr:row>
          <xdr:rowOff>297180</xdr:rowOff>
        </xdr:to>
        <xdr:sp macro="" textlink="">
          <xdr:nvSpPr>
            <xdr:cNvPr id="229378" name="Drop Down 2" hidden="1">
              <a:extLst>
                <a:ext uri="{63B3BB69-23CF-44E3-9099-C40C66FF867C}">
                  <a14:compatExt spid="_x0000_s229378"/>
                </a:ext>
                <a:ext uri="{FF2B5EF4-FFF2-40B4-BE49-F238E27FC236}">
                  <a16:creationId xmlns:a16="http://schemas.microsoft.com/office/drawing/2014/main" id="{00000000-0008-0000-0E00-0000028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14</xdr:col>
      <xdr:colOff>142875</xdr:colOff>
      <xdr:row>7</xdr:row>
      <xdr:rowOff>76200</xdr:rowOff>
    </xdr:from>
    <xdr:to>
      <xdr:col>23</xdr:col>
      <xdr:colOff>342900</xdr:colOff>
      <xdr:row>30</xdr:row>
      <xdr:rowOff>66675</xdr:rowOff>
    </xdr:to>
    <xdr:graphicFrame macro="">
      <xdr:nvGraphicFramePr>
        <xdr:cNvPr id="10" name="Chart 9">
          <a:extLst>
            <a:ext uri="{FF2B5EF4-FFF2-40B4-BE49-F238E27FC236}">
              <a16:creationId xmlns:a16="http://schemas.microsoft.com/office/drawing/2014/main" id="{00000000-0008-0000-0E00-00000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4</xdr:col>
      <xdr:colOff>91441</xdr:colOff>
      <xdr:row>1</xdr:row>
      <xdr:rowOff>106680</xdr:rowOff>
    </xdr:from>
    <xdr:to>
      <xdr:col>4</xdr:col>
      <xdr:colOff>358141</xdr:colOff>
      <xdr:row>2</xdr:row>
      <xdr:rowOff>260040</xdr:rowOff>
    </xdr:to>
    <xdr:pic>
      <xdr:nvPicPr>
        <xdr:cNvPr id="2" name="Picture 1" descr="logovvsm.jpg">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cstate="print"/>
        <a:stretch>
          <a:fillRect/>
        </a:stretch>
      </xdr:blipFill>
      <xdr:spPr>
        <a:xfrm>
          <a:off x="1432561" y="106680"/>
          <a:ext cx="266700" cy="359100"/>
        </a:xfrm>
        <a:prstGeom prst="roundRect">
          <a:avLst>
            <a:gd name="adj" fmla="val 8594"/>
          </a:avLst>
        </a:prstGeom>
        <a:solidFill>
          <a:srgbClr val="FFFFFF">
            <a:shade val="85000"/>
          </a:srgbClr>
        </a:solidFill>
        <a:ln>
          <a:noFill/>
        </a:ln>
        <a:effectLst>
          <a:outerShdw blurRad="63500" sx="102000" sy="102000" algn="ctr" rotWithShape="0">
            <a:prstClr val="black">
              <a:alpha val="40000"/>
            </a:prstClr>
          </a:outerShdw>
        </a:effectLst>
      </xdr:spPr>
    </xdr:pic>
    <xdr:clientData/>
  </xdr:twoCellAnchor>
  <xdr:twoCellAnchor>
    <xdr:from>
      <xdr:col>4</xdr:col>
      <xdr:colOff>403860</xdr:colOff>
      <xdr:row>1</xdr:row>
      <xdr:rowOff>99060</xdr:rowOff>
    </xdr:from>
    <xdr:to>
      <xdr:col>7</xdr:col>
      <xdr:colOff>251460</xdr:colOff>
      <xdr:row>2</xdr:row>
      <xdr:rowOff>274320</xdr:rowOff>
    </xdr:to>
    <xdr:sp macro="" textlink="REP.gts">
      <xdr:nvSpPr>
        <xdr:cNvPr id="3" name="TextBox 2">
          <a:extLst>
            <a:ext uri="{FF2B5EF4-FFF2-40B4-BE49-F238E27FC236}">
              <a16:creationId xmlns:a16="http://schemas.microsoft.com/office/drawing/2014/main" id="{00000000-0008-0000-0F00-000003000000}"/>
            </a:ext>
          </a:extLst>
        </xdr:cNvPr>
        <xdr:cNvSpPr txBox="1"/>
      </xdr:nvSpPr>
      <xdr:spPr>
        <a:xfrm>
          <a:off x="1744980" y="99060"/>
          <a:ext cx="2011680" cy="381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fld id="{3BA988AB-649B-451C-8315-D0DA89BAC50D}" type="TxLink">
            <a:rPr lang="en-US" sz="900" b="1" i="0" u="none" strike="noStrike">
              <a:solidFill>
                <a:srgbClr val="000000"/>
              </a:solidFill>
              <a:latin typeface="+mn-lt"/>
            </a:rPr>
            <a:pPr algn="l"/>
            <a:t>Global Tourism Solutions (UK) Ltd</a:t>
          </a:fld>
          <a:endParaRPr lang="en-GB" sz="900" b="1">
            <a:latin typeface="+mn-lt"/>
          </a:endParaRPr>
        </a:p>
      </xdr:txBody>
    </xdr:sp>
    <xdr:clientData/>
  </xdr:twoCellAnchor>
  <xdr:twoCellAnchor>
    <xdr:from>
      <xdr:col>4</xdr:col>
      <xdr:colOff>60960</xdr:colOff>
      <xdr:row>3</xdr:row>
      <xdr:rowOff>15240</xdr:rowOff>
    </xdr:from>
    <xdr:to>
      <xdr:col>21</xdr:col>
      <xdr:colOff>45720</xdr:colOff>
      <xdr:row>3</xdr:row>
      <xdr:rowOff>320040</xdr:rowOff>
    </xdr:to>
    <xdr:sp macro="" textlink="">
      <xdr:nvSpPr>
        <xdr:cNvPr id="4" name="Rectangle 3">
          <a:extLst>
            <a:ext uri="{FF2B5EF4-FFF2-40B4-BE49-F238E27FC236}">
              <a16:creationId xmlns:a16="http://schemas.microsoft.com/office/drawing/2014/main" id="{00000000-0008-0000-0F00-000004000000}"/>
            </a:ext>
          </a:extLst>
        </xdr:cNvPr>
        <xdr:cNvSpPr/>
      </xdr:nvSpPr>
      <xdr:spPr>
        <a:xfrm>
          <a:off x="1402080" y="556260"/>
          <a:ext cx="8763000" cy="304800"/>
        </a:xfrm>
        <a:prstGeom prst="rect">
          <a:avLst/>
        </a:prstGeom>
        <a:noFill/>
        <a:ln>
          <a:noFill/>
        </a:ln>
        <a:effectLst>
          <a:outerShdw blurRad="63500" sx="102000" sy="102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lIns="36000" tIns="36000" rIns="36000" bIns="36000" rtlCol="0" anchor="ctr"/>
        <a:lstStyle/>
        <a:p>
          <a:pPr algn="l"/>
          <a:r>
            <a:rPr lang="en-GB" sz="1000" b="1">
              <a:solidFill>
                <a:schemeClr val="bg1"/>
              </a:solidFill>
            </a:rPr>
            <a:t>REPORT CONTROLS </a:t>
          </a:r>
          <a:r>
            <a:rPr lang="en-GB" sz="1000" b="0" i="1">
              <a:solidFill>
                <a:schemeClr val="bg1"/>
              </a:solidFill>
            </a:rPr>
            <a:t>- Please adjust the report outputs</a:t>
          </a:r>
          <a:r>
            <a:rPr lang="en-GB" sz="1000" b="0" i="1" baseline="0">
              <a:solidFill>
                <a:schemeClr val="bg1"/>
              </a:solidFill>
            </a:rPr>
            <a:t> using the drop-down controls below</a:t>
          </a:r>
        </a:p>
      </xdr:txBody>
    </xdr:sp>
    <xdr:clientData fPrintsWithSheet="0"/>
  </xdr:twoCellAnchor>
  <xdr:twoCellAnchor editAs="oneCell">
    <xdr:from>
      <xdr:col>22</xdr:col>
      <xdr:colOff>320041</xdr:colOff>
      <xdr:row>3</xdr:row>
      <xdr:rowOff>45721</xdr:rowOff>
    </xdr:from>
    <xdr:to>
      <xdr:col>23</xdr:col>
      <xdr:colOff>398146</xdr:colOff>
      <xdr:row>4</xdr:row>
      <xdr:rowOff>299165</xdr:rowOff>
    </xdr:to>
    <xdr:pic>
      <xdr:nvPicPr>
        <xdr:cNvPr id="5" name="Picture 4">
          <a:hlinkClick xmlns:r="http://schemas.openxmlformats.org/officeDocument/2006/relationships" r:id="rId2" tooltip="Home - Navigation Page"/>
          <a:extLst>
            <a:ext uri="{FF2B5EF4-FFF2-40B4-BE49-F238E27FC236}">
              <a16:creationId xmlns:a16="http://schemas.microsoft.com/office/drawing/2014/main" id="{00000000-0008-0000-0F00-000005000000}"/>
            </a:ext>
          </a:extLst>
        </xdr:cNvPr>
        <xdr:cNvPicPr>
          <a:picLocks noChangeAspect="1"/>
        </xdr:cNvPicPr>
      </xdr:nvPicPr>
      <xdr:blipFill>
        <a:blip xmlns:r="http://schemas.openxmlformats.org/officeDocument/2006/relationships" r:embed="rId3" cstate="print">
          <a:grayscl/>
          <a:extLst>
            <a:ext uri="{28A0092B-C50C-407E-A947-70E740481C1C}">
              <a14:useLocalDpi xmlns:a14="http://schemas.microsoft.com/office/drawing/2010/main" val="0"/>
            </a:ext>
          </a:extLst>
        </a:blip>
        <a:stretch>
          <a:fillRect/>
        </a:stretch>
      </xdr:blipFill>
      <xdr:spPr>
        <a:xfrm>
          <a:off x="10911841" y="586741"/>
          <a:ext cx="579120" cy="588724"/>
        </a:xfrm>
        <a:prstGeom prst="rect">
          <a:avLst/>
        </a:prstGeom>
      </xdr:spPr>
    </xdr:pic>
    <xdr:clientData/>
  </xdr:twoCellAnchor>
  <xdr:twoCellAnchor>
    <xdr:from>
      <xdr:col>17</xdr:col>
      <xdr:colOff>274320</xdr:colOff>
      <xdr:row>3</xdr:row>
      <xdr:rowOff>304801</xdr:rowOff>
    </xdr:from>
    <xdr:to>
      <xdr:col>21</xdr:col>
      <xdr:colOff>184560</xdr:colOff>
      <xdr:row>4</xdr:row>
      <xdr:rowOff>329521</xdr:rowOff>
    </xdr:to>
    <xdr:sp macro="" textlink="">
      <xdr:nvSpPr>
        <xdr:cNvPr id="10" name="Rectangle 9">
          <a:extLst>
            <a:ext uri="{FF2B5EF4-FFF2-40B4-BE49-F238E27FC236}">
              <a16:creationId xmlns:a16="http://schemas.microsoft.com/office/drawing/2014/main" id="{00000000-0008-0000-0F00-00000A000000}"/>
            </a:ext>
          </a:extLst>
        </xdr:cNvPr>
        <xdr:cNvSpPr/>
      </xdr:nvSpPr>
      <xdr:spPr>
        <a:xfrm>
          <a:off x="8503920" y="845821"/>
          <a:ext cx="1800000" cy="360000"/>
        </a:xfrm>
        <a:prstGeom prst="rect">
          <a:avLst/>
        </a:prstGeom>
        <a:noFill/>
        <a:ln>
          <a:noFill/>
        </a:ln>
        <a:effectLst>
          <a:outerShdw blurRad="63500" sx="101000" sy="101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lIns="36000" tIns="36000" rIns="36000" bIns="36000" rtlCol="0" anchor="ctr"/>
        <a:lstStyle/>
        <a:p>
          <a:pPr algn="ctr"/>
          <a:r>
            <a:rPr lang="en-GB" sz="900" b="1">
              <a:solidFill>
                <a:schemeClr val="bg1"/>
              </a:solidFill>
            </a:rPr>
            <a:t>HIGHLIGHT</a:t>
          </a:r>
          <a:r>
            <a:rPr lang="en-GB" sz="900" b="1" baseline="0">
              <a:solidFill>
                <a:schemeClr val="bg1"/>
              </a:solidFill>
            </a:rPr>
            <a:t> % CHANGES</a:t>
          </a:r>
        </a:p>
        <a:p>
          <a:pPr algn="ctr"/>
          <a:r>
            <a:rPr lang="en-GB" sz="900" b="1" baseline="0">
              <a:solidFill>
                <a:schemeClr val="bg1"/>
              </a:solidFill>
            </a:rPr>
            <a:t>GREATER THAN OR EQUAL TO:</a:t>
          </a:r>
        </a:p>
      </xdr:txBody>
    </xdr:sp>
    <xdr:clientData fPrintsWithSheet="0"/>
  </xdr:twoCellAnchor>
  <mc:AlternateContent xmlns:mc="http://schemas.openxmlformats.org/markup-compatibility/2006">
    <mc:Choice xmlns:a14="http://schemas.microsoft.com/office/drawing/2010/main" Requires="a14">
      <xdr:twoCellAnchor editAs="oneCell">
        <xdr:from>
          <xdr:col>21</xdr:col>
          <xdr:colOff>175260</xdr:colOff>
          <xdr:row>4</xdr:row>
          <xdr:rowOff>22860</xdr:rowOff>
        </xdr:from>
        <xdr:to>
          <xdr:col>22</xdr:col>
          <xdr:colOff>259080</xdr:colOff>
          <xdr:row>4</xdr:row>
          <xdr:rowOff>297180</xdr:rowOff>
        </xdr:to>
        <xdr:sp macro="" textlink="">
          <xdr:nvSpPr>
            <xdr:cNvPr id="126977" name="Drop Down 1" hidden="1">
              <a:extLst>
                <a:ext uri="{63B3BB69-23CF-44E3-9099-C40C66FF867C}">
                  <a14:compatExt spid="_x0000_s126977"/>
                </a:ext>
                <a:ext uri="{FF2B5EF4-FFF2-40B4-BE49-F238E27FC236}">
                  <a16:creationId xmlns:a16="http://schemas.microsoft.com/office/drawing/2014/main" id="{00000000-0008-0000-0F00-000001F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13</xdr:col>
      <xdr:colOff>304800</xdr:colOff>
      <xdr:row>4</xdr:row>
      <xdr:rowOff>0</xdr:rowOff>
    </xdr:from>
    <xdr:to>
      <xdr:col>16</xdr:col>
      <xdr:colOff>138840</xdr:colOff>
      <xdr:row>4</xdr:row>
      <xdr:rowOff>327660</xdr:rowOff>
    </xdr:to>
    <xdr:sp macro="" textlink="">
      <xdr:nvSpPr>
        <xdr:cNvPr id="14" name="Rectangle 13">
          <a:extLst>
            <a:ext uri="{FF2B5EF4-FFF2-40B4-BE49-F238E27FC236}">
              <a16:creationId xmlns:a16="http://schemas.microsoft.com/office/drawing/2014/main" id="{00000000-0008-0000-0F00-00000E000000}"/>
            </a:ext>
          </a:extLst>
        </xdr:cNvPr>
        <xdr:cNvSpPr/>
      </xdr:nvSpPr>
      <xdr:spPr>
        <a:xfrm>
          <a:off x="6644640" y="876300"/>
          <a:ext cx="1251360" cy="327660"/>
        </a:xfrm>
        <a:prstGeom prst="rect">
          <a:avLst/>
        </a:prstGeom>
        <a:solidFill>
          <a:schemeClr val="accent1"/>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lIns="36000" tIns="36000" rIns="36000" bIns="36000" rtlCol="0" anchor="ctr"/>
        <a:lstStyle/>
        <a:p>
          <a:pPr algn="ctr"/>
          <a:r>
            <a:rPr lang="en-GB" sz="900" b="1">
              <a:solidFill>
                <a:schemeClr val="bg1"/>
              </a:solidFill>
            </a:rPr>
            <a:t>INDEXATION</a:t>
          </a:r>
        </a:p>
        <a:p>
          <a:pPr algn="ctr"/>
          <a:r>
            <a:rPr lang="en-GB" sz="900" b="0">
              <a:solidFill>
                <a:schemeClr val="bg1"/>
              </a:solidFill>
            </a:rPr>
            <a:t>Reflect Price</a:t>
          </a:r>
          <a:r>
            <a:rPr lang="en-GB" sz="900" b="0" baseline="0">
              <a:solidFill>
                <a:schemeClr val="bg1"/>
              </a:solidFill>
            </a:rPr>
            <a:t> Inflation?</a:t>
          </a:r>
          <a:endParaRPr lang="en-GB" sz="900" b="0">
            <a:solidFill>
              <a:schemeClr val="bg1"/>
            </a:solidFill>
          </a:endParaRPr>
        </a:p>
      </xdr:txBody>
    </xdr:sp>
    <xdr:clientData fPrintsWithSheet="0"/>
  </xdr:twoCellAnchor>
  <mc:AlternateContent xmlns:mc="http://schemas.openxmlformats.org/markup-compatibility/2006">
    <mc:Choice xmlns:a14="http://schemas.microsoft.com/office/drawing/2010/main" Requires="a14">
      <xdr:twoCellAnchor editAs="oneCell">
        <xdr:from>
          <xdr:col>16</xdr:col>
          <xdr:colOff>68580</xdr:colOff>
          <xdr:row>4</xdr:row>
          <xdr:rowOff>22860</xdr:rowOff>
        </xdr:from>
        <xdr:to>
          <xdr:col>17</xdr:col>
          <xdr:colOff>289560</xdr:colOff>
          <xdr:row>4</xdr:row>
          <xdr:rowOff>297180</xdr:rowOff>
        </xdr:to>
        <xdr:sp macro="" textlink="">
          <xdr:nvSpPr>
            <xdr:cNvPr id="126979" name="Drop Down 3" hidden="1">
              <a:extLst>
                <a:ext uri="{63B3BB69-23CF-44E3-9099-C40C66FF867C}">
                  <a14:compatExt spid="_x0000_s126979"/>
                </a:ext>
                <a:ext uri="{FF2B5EF4-FFF2-40B4-BE49-F238E27FC236}">
                  <a16:creationId xmlns:a16="http://schemas.microsoft.com/office/drawing/2014/main" id="{00000000-0008-0000-0F00-000003F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4</xdr:col>
      <xdr:colOff>22860</xdr:colOff>
      <xdr:row>4</xdr:row>
      <xdr:rowOff>0</xdr:rowOff>
    </xdr:from>
    <xdr:to>
      <xdr:col>6</xdr:col>
      <xdr:colOff>0</xdr:colOff>
      <xdr:row>4</xdr:row>
      <xdr:rowOff>327660</xdr:rowOff>
    </xdr:to>
    <xdr:sp macro="" textlink="">
      <xdr:nvSpPr>
        <xdr:cNvPr id="16" name="Rectangle 15">
          <a:extLst>
            <a:ext uri="{FF2B5EF4-FFF2-40B4-BE49-F238E27FC236}">
              <a16:creationId xmlns:a16="http://schemas.microsoft.com/office/drawing/2014/main" id="{00000000-0008-0000-0F00-000010000000}"/>
            </a:ext>
          </a:extLst>
        </xdr:cNvPr>
        <xdr:cNvSpPr/>
      </xdr:nvSpPr>
      <xdr:spPr>
        <a:xfrm>
          <a:off x="1318260" y="866775"/>
          <a:ext cx="1624965" cy="327660"/>
        </a:xfrm>
        <a:prstGeom prst="rect">
          <a:avLst/>
        </a:prstGeom>
        <a:solidFill>
          <a:srgbClr val="00B0F0"/>
        </a:solidFill>
        <a:ln>
          <a:noFill/>
        </a:ln>
        <a:effectLst>
          <a:outerShdw blurRad="63500" sx="101000" sy="101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lIns="0" tIns="0" rIns="0" bIns="0" rtlCol="0" anchor="ctr"/>
        <a:lstStyle/>
        <a:p>
          <a:pPr algn="ctr"/>
          <a:r>
            <a:rPr lang="en-GB" sz="900" b="1" baseline="0">
              <a:solidFill>
                <a:schemeClr val="bg1"/>
              </a:solidFill>
            </a:rPr>
            <a:t>CHARTS SHOW</a:t>
          </a:r>
        </a:p>
      </xdr:txBody>
    </xdr:sp>
    <xdr:clientData fPrintsWithSheet="0"/>
  </xdr:twoCellAnchor>
  <mc:AlternateContent xmlns:mc="http://schemas.openxmlformats.org/markup-compatibility/2006">
    <mc:Choice xmlns:a14="http://schemas.microsoft.com/office/drawing/2010/main" Requires="a14">
      <xdr:twoCellAnchor editAs="oneCell">
        <xdr:from>
          <xdr:col>6</xdr:col>
          <xdr:colOff>7620</xdr:colOff>
          <xdr:row>4</xdr:row>
          <xdr:rowOff>22860</xdr:rowOff>
        </xdr:from>
        <xdr:to>
          <xdr:col>7</xdr:col>
          <xdr:colOff>220980</xdr:colOff>
          <xdr:row>4</xdr:row>
          <xdr:rowOff>297180</xdr:rowOff>
        </xdr:to>
        <xdr:sp macro="" textlink="">
          <xdr:nvSpPr>
            <xdr:cNvPr id="126980" name="Drop Down 4" hidden="1">
              <a:extLst>
                <a:ext uri="{63B3BB69-23CF-44E3-9099-C40C66FF867C}">
                  <a14:compatExt spid="_x0000_s126980"/>
                </a:ext>
                <a:ext uri="{FF2B5EF4-FFF2-40B4-BE49-F238E27FC236}">
                  <a16:creationId xmlns:a16="http://schemas.microsoft.com/office/drawing/2014/main" id="{00000000-0008-0000-0F00-000004F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18</xdr:col>
      <xdr:colOff>22860</xdr:colOff>
      <xdr:row>7</xdr:row>
      <xdr:rowOff>15240</xdr:rowOff>
    </xdr:from>
    <xdr:to>
      <xdr:col>23</xdr:col>
      <xdr:colOff>449580</xdr:colOff>
      <xdr:row>20</xdr:row>
      <xdr:rowOff>160020</xdr:rowOff>
    </xdr:to>
    <xdr:graphicFrame macro="">
      <xdr:nvGraphicFramePr>
        <xdr:cNvPr id="11" name="Chart 10">
          <a:extLst>
            <a:ext uri="{FF2B5EF4-FFF2-40B4-BE49-F238E27FC236}">
              <a16:creationId xmlns:a16="http://schemas.microsoft.com/office/drawing/2014/main" id="{00000000-0008-0000-0F00-00000B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236220</xdr:colOff>
      <xdr:row>1</xdr:row>
      <xdr:rowOff>91440</xdr:rowOff>
    </xdr:from>
    <xdr:to>
      <xdr:col>22</xdr:col>
      <xdr:colOff>182880</xdr:colOff>
      <xdr:row>2</xdr:row>
      <xdr:rowOff>190500</xdr:rowOff>
    </xdr:to>
    <xdr:sp macro="" textlink="">
      <xdr:nvSpPr>
        <xdr:cNvPr id="15" name="Rectangle 14">
          <a:extLst>
            <a:ext uri="{FF2B5EF4-FFF2-40B4-BE49-F238E27FC236}">
              <a16:creationId xmlns:a16="http://schemas.microsoft.com/office/drawing/2014/main" id="{00000000-0008-0000-0F00-00000F000000}"/>
            </a:ext>
          </a:extLst>
        </xdr:cNvPr>
        <xdr:cNvSpPr/>
      </xdr:nvSpPr>
      <xdr:spPr>
        <a:xfrm>
          <a:off x="3741420" y="91440"/>
          <a:ext cx="7033260" cy="304800"/>
        </a:xfrm>
        <a:prstGeom prst="rect">
          <a:avLst/>
        </a:prstGeom>
        <a:noFill/>
        <a:ln>
          <a:noFill/>
        </a:ln>
        <a:effectLst>
          <a:outerShdw blurRad="63500" sx="102000" sy="102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lIns="36000" tIns="36000" rIns="36000" bIns="36000" rtlCol="0" anchor="ctr"/>
        <a:lstStyle/>
        <a:p>
          <a:pPr algn="r"/>
          <a:r>
            <a:rPr lang="en-GB" sz="1000" b="1">
              <a:solidFill>
                <a:schemeClr val="tx1">
                  <a:lumMod val="65000"/>
                  <a:lumOff val="35000"/>
                </a:schemeClr>
              </a:solidFill>
            </a:rPr>
            <a:t>Pressing this on-screen "Home" button on</a:t>
          </a:r>
          <a:r>
            <a:rPr lang="en-GB" sz="1000" b="1" baseline="0">
              <a:solidFill>
                <a:schemeClr val="tx1">
                  <a:lumMod val="65000"/>
                  <a:lumOff val="35000"/>
                </a:schemeClr>
              </a:solidFill>
            </a:rPr>
            <a:t> any sheet of the report takes you back to the navigation page</a:t>
          </a:r>
          <a:endParaRPr lang="en-GB" sz="1000" b="0" i="1" baseline="0">
            <a:solidFill>
              <a:schemeClr val="tx1">
                <a:lumMod val="65000"/>
                <a:lumOff val="35000"/>
              </a:schemeClr>
            </a:solidFill>
          </a:endParaRPr>
        </a:p>
      </xdr:txBody>
    </xdr:sp>
    <xdr:clientData fPrintsWithSheet="0"/>
  </xdr:twoCellAnchor>
  <xdr:twoCellAnchor>
    <xdr:from>
      <xdr:col>22</xdr:col>
      <xdr:colOff>232410</xdr:colOff>
      <xdr:row>2</xdr:row>
      <xdr:rowOff>11430</xdr:rowOff>
    </xdr:from>
    <xdr:to>
      <xdr:col>23</xdr:col>
      <xdr:colOff>190500</xdr:colOff>
      <xdr:row>2</xdr:row>
      <xdr:rowOff>281940</xdr:rowOff>
    </xdr:to>
    <xdr:sp macro="" textlink="">
      <xdr:nvSpPr>
        <xdr:cNvPr id="17" name="Bent Arrow 16">
          <a:extLst>
            <a:ext uri="{FF2B5EF4-FFF2-40B4-BE49-F238E27FC236}">
              <a16:creationId xmlns:a16="http://schemas.microsoft.com/office/drawing/2014/main" id="{00000000-0008-0000-0F00-000011000000}"/>
            </a:ext>
          </a:extLst>
        </xdr:cNvPr>
        <xdr:cNvSpPr/>
      </xdr:nvSpPr>
      <xdr:spPr>
        <a:xfrm rot="5400000">
          <a:off x="10904220" y="137160"/>
          <a:ext cx="270510" cy="430530"/>
        </a:xfrm>
        <a:prstGeom prst="bentArrow">
          <a:avLst/>
        </a:prstGeom>
        <a:solidFill>
          <a:schemeClr val="bg1">
            <a:lumMod val="85000"/>
          </a:schemeClr>
        </a:solidFill>
        <a:ln w="22225">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chemeClr val="tx1"/>
            </a:solidFill>
          </a:endParaRPr>
        </a:p>
      </xdr:txBody>
    </xdr:sp>
    <xdr:clientData/>
  </xdr:twoCellAnchor>
  <xdr:twoCellAnchor>
    <xdr:from>
      <xdr:col>20</xdr:col>
      <xdr:colOff>22860</xdr:colOff>
      <xdr:row>9</xdr:row>
      <xdr:rowOff>76200</xdr:rowOff>
    </xdr:from>
    <xdr:to>
      <xdr:col>22</xdr:col>
      <xdr:colOff>68580</xdr:colOff>
      <xdr:row>10</xdr:row>
      <xdr:rowOff>182880</xdr:rowOff>
    </xdr:to>
    <xdr:sp macro="" textlink="$U$10">
      <xdr:nvSpPr>
        <xdr:cNvPr id="6" name="TextBox 5">
          <a:extLst>
            <a:ext uri="{FF2B5EF4-FFF2-40B4-BE49-F238E27FC236}">
              <a16:creationId xmlns:a16="http://schemas.microsoft.com/office/drawing/2014/main" id="{00000000-0008-0000-0F00-000006000000}"/>
            </a:ext>
          </a:extLst>
        </xdr:cNvPr>
        <xdr:cNvSpPr txBox="1"/>
      </xdr:nvSpPr>
      <xdr:spPr>
        <a:xfrm>
          <a:off x="9669780" y="2110740"/>
          <a:ext cx="990600" cy="3124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fld id="{AC82F7C8-018C-4E24-BE2C-AF3B13B0C8BD}" type="TxLink">
            <a:rPr lang="en-US" sz="900" b="1" i="0" u="none" strike="noStrike">
              <a:solidFill>
                <a:schemeClr val="tx2"/>
              </a:solidFill>
              <a:latin typeface="Calibri"/>
            </a:rPr>
            <a:pPr algn="ctr"/>
            <a:t>Accommodation (17.2%)</a:t>
          </a:fld>
          <a:endParaRPr lang="en-GB" sz="900" b="1">
            <a:solidFill>
              <a:schemeClr val="tx2"/>
            </a:solidFill>
          </a:endParaRPr>
        </a:p>
      </xdr:txBody>
    </xdr:sp>
    <xdr:clientData/>
  </xdr:twoCellAnchor>
  <xdr:twoCellAnchor>
    <xdr:from>
      <xdr:col>18</xdr:col>
      <xdr:colOff>15240</xdr:colOff>
      <xdr:row>22</xdr:row>
      <xdr:rowOff>15240</xdr:rowOff>
    </xdr:from>
    <xdr:to>
      <xdr:col>23</xdr:col>
      <xdr:colOff>441960</xdr:colOff>
      <xdr:row>35</xdr:row>
      <xdr:rowOff>160020</xdr:rowOff>
    </xdr:to>
    <xdr:graphicFrame macro="">
      <xdr:nvGraphicFramePr>
        <xdr:cNvPr id="21" name="Chart 20">
          <a:extLst>
            <a:ext uri="{FF2B5EF4-FFF2-40B4-BE49-F238E27FC236}">
              <a16:creationId xmlns:a16="http://schemas.microsoft.com/office/drawing/2014/main" id="{00000000-0008-0000-0F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19</xdr:col>
      <xdr:colOff>66675</xdr:colOff>
      <xdr:row>22</xdr:row>
      <xdr:rowOff>76200</xdr:rowOff>
    </xdr:from>
    <xdr:to>
      <xdr:col>23</xdr:col>
      <xdr:colOff>403860</xdr:colOff>
      <xdr:row>23</xdr:row>
      <xdr:rowOff>149075</xdr:rowOff>
    </xdr:to>
    <xdr:sp macro="" textlink="$E$23">
      <xdr:nvSpPr>
        <xdr:cNvPr id="22" name="TextBox 19">
          <a:extLst>
            <a:ext uri="{FF2B5EF4-FFF2-40B4-BE49-F238E27FC236}">
              <a16:creationId xmlns:a16="http://schemas.microsoft.com/office/drawing/2014/main" id="{00000000-0008-0000-0F00-000016000000}"/>
            </a:ext>
          </a:extLst>
        </xdr:cNvPr>
        <xdr:cNvSpPr txBox="1"/>
      </xdr:nvSpPr>
      <xdr:spPr>
        <a:xfrm>
          <a:off x="8953500" y="4476750"/>
          <a:ext cx="2165985" cy="27290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wrap="square" lIns="0" tIns="0" rIns="0" bIns="0" rtlCol="0" anchor="ctr" anchorCtr="1"/>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E9D1E3D1-2544-4FD7-8D4B-177A621169DB}" type="TxLink">
            <a:rPr lang="en-US" sz="1000" b="1" i="0" u="none" strike="noStrike">
              <a:solidFill>
                <a:schemeClr val="accent6">
                  <a:lumMod val="50000"/>
                </a:schemeClr>
              </a:solidFill>
              <a:latin typeface="Calibri"/>
            </a:rPr>
            <a:pPr algn="ctr"/>
            <a:t>SECTORAL DISTRIBUTION OF EMPLOYMENT - FTES</a:t>
          </a:fld>
          <a:endParaRPr lang="en-GB" sz="1000">
            <a:solidFill>
              <a:schemeClr val="accent6">
                <a:lumMod val="50000"/>
              </a:schemeClr>
            </a:solidFill>
          </a:endParaRPr>
        </a:p>
      </xdr:txBody>
    </xdr:sp>
    <xdr:clientData/>
  </xdr:twoCellAnchor>
  <xdr:twoCellAnchor>
    <xdr:from>
      <xdr:col>18</xdr:col>
      <xdr:colOff>41910</xdr:colOff>
      <xdr:row>22</xdr:row>
      <xdr:rowOff>20806</xdr:rowOff>
    </xdr:from>
    <xdr:to>
      <xdr:col>19</xdr:col>
      <xdr:colOff>54499</xdr:colOff>
      <xdr:row>23</xdr:row>
      <xdr:rowOff>93681</xdr:rowOff>
    </xdr:to>
    <xdr:sp macro="" textlink="$S$24">
      <xdr:nvSpPr>
        <xdr:cNvPr id="23" name="TextBox 19">
          <a:extLst>
            <a:ext uri="{FF2B5EF4-FFF2-40B4-BE49-F238E27FC236}">
              <a16:creationId xmlns:a16="http://schemas.microsoft.com/office/drawing/2014/main" id="{00000000-0008-0000-0F00-000017000000}"/>
            </a:ext>
          </a:extLst>
        </xdr:cNvPr>
        <xdr:cNvSpPr txBox="1"/>
      </xdr:nvSpPr>
      <xdr:spPr>
        <a:xfrm>
          <a:off x="8471535" y="4421356"/>
          <a:ext cx="469789" cy="27290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wrap="square" lIns="0" tIns="0" rIns="0" bIns="0" rtlCol="0" anchor="ctr" anchorCtr="1"/>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fld id="{3706FA83-C796-4819-8A01-40886B4A07D5}" type="TxLink">
            <a:rPr lang="en-US" sz="1600" b="1" i="0" u="none" strike="noStrike">
              <a:solidFill>
                <a:schemeClr val="accent6">
                  <a:lumMod val="50000"/>
                </a:schemeClr>
              </a:solidFill>
              <a:latin typeface="Calibri"/>
            </a:rPr>
            <a:pPr/>
            <a:t>2022</a:t>
          </a:fld>
          <a:endParaRPr lang="en-GB" sz="1600">
            <a:solidFill>
              <a:schemeClr val="accent6">
                <a:lumMod val="50000"/>
              </a:schemeClr>
            </a:solidFill>
          </a:endParaRPr>
        </a:p>
      </xdr:txBody>
    </xdr:sp>
    <xdr:clientData/>
  </xdr:twoCellAnchor>
  <xdr:twoCellAnchor>
    <xdr:from>
      <xdr:col>22</xdr:col>
      <xdr:colOff>167640</xdr:colOff>
      <xdr:row>11</xdr:row>
      <xdr:rowOff>7620</xdr:rowOff>
    </xdr:from>
    <xdr:to>
      <xdr:col>23</xdr:col>
      <xdr:colOff>449580</xdr:colOff>
      <xdr:row>12</xdr:row>
      <xdr:rowOff>114300</xdr:rowOff>
    </xdr:to>
    <xdr:sp macro="" textlink="$U$11">
      <xdr:nvSpPr>
        <xdr:cNvPr id="24" name="TextBox 23">
          <a:extLst>
            <a:ext uri="{FF2B5EF4-FFF2-40B4-BE49-F238E27FC236}">
              <a16:creationId xmlns:a16="http://schemas.microsoft.com/office/drawing/2014/main" id="{00000000-0008-0000-0F00-000018000000}"/>
            </a:ext>
          </a:extLst>
        </xdr:cNvPr>
        <xdr:cNvSpPr txBox="1"/>
      </xdr:nvSpPr>
      <xdr:spPr>
        <a:xfrm>
          <a:off x="10759440" y="2453640"/>
          <a:ext cx="754380" cy="3124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fld id="{DA71BDD8-B9FD-420D-A32D-15B0E0F737FE}" type="TxLink">
            <a:rPr lang="en-US" sz="900" b="1" i="0" u="none" strike="noStrike">
              <a:solidFill>
                <a:schemeClr val="accent2"/>
              </a:solidFill>
              <a:latin typeface="Calibri"/>
            </a:rPr>
            <a:pPr algn="ctr"/>
            <a:t>Food &amp; Drink (14.2%)</a:t>
          </a:fld>
          <a:endParaRPr lang="en-GB" sz="900" b="1">
            <a:solidFill>
              <a:schemeClr val="accent2"/>
            </a:solidFill>
          </a:endParaRPr>
        </a:p>
      </xdr:txBody>
    </xdr:sp>
    <xdr:clientData/>
  </xdr:twoCellAnchor>
  <xdr:twoCellAnchor>
    <xdr:from>
      <xdr:col>22</xdr:col>
      <xdr:colOff>283845</xdr:colOff>
      <xdr:row>16</xdr:row>
      <xdr:rowOff>112395</xdr:rowOff>
    </xdr:from>
    <xdr:to>
      <xdr:col>24</xdr:col>
      <xdr:colOff>93345</xdr:colOff>
      <xdr:row>18</xdr:row>
      <xdr:rowOff>13335</xdr:rowOff>
    </xdr:to>
    <xdr:sp macro="" textlink="$U$12">
      <xdr:nvSpPr>
        <xdr:cNvPr id="25" name="TextBox 24">
          <a:extLst>
            <a:ext uri="{FF2B5EF4-FFF2-40B4-BE49-F238E27FC236}">
              <a16:creationId xmlns:a16="http://schemas.microsoft.com/office/drawing/2014/main" id="{00000000-0008-0000-0F00-000019000000}"/>
            </a:ext>
          </a:extLst>
        </xdr:cNvPr>
        <xdr:cNvSpPr txBox="1"/>
      </xdr:nvSpPr>
      <xdr:spPr>
        <a:xfrm>
          <a:off x="10542270" y="3512820"/>
          <a:ext cx="723900" cy="3009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fld id="{A8F0391D-4787-4B25-990C-7BF95AFEB69B}" type="TxLink">
            <a:rPr lang="en-US" sz="900" b="1" i="0" u="none" strike="noStrike">
              <a:solidFill>
                <a:schemeClr val="accent6">
                  <a:lumMod val="75000"/>
                </a:schemeClr>
              </a:solidFill>
              <a:latin typeface="Calibri"/>
            </a:rPr>
            <a:pPr algn="ctr"/>
            <a:t>Recreation (5.0%)</a:t>
          </a:fld>
          <a:endParaRPr lang="en-GB" sz="900" b="1">
            <a:solidFill>
              <a:schemeClr val="accent6">
                <a:lumMod val="75000"/>
              </a:schemeClr>
            </a:solidFill>
          </a:endParaRPr>
        </a:p>
      </xdr:txBody>
    </xdr:sp>
    <xdr:clientData/>
  </xdr:twoCellAnchor>
  <xdr:twoCellAnchor>
    <xdr:from>
      <xdr:col>21</xdr:col>
      <xdr:colOff>278130</xdr:colOff>
      <xdr:row>19</xdr:row>
      <xdr:rowOff>121920</xdr:rowOff>
    </xdr:from>
    <xdr:to>
      <xdr:col>23</xdr:col>
      <xdr:colOff>87630</xdr:colOff>
      <xdr:row>22</xdr:row>
      <xdr:rowOff>22860</xdr:rowOff>
    </xdr:to>
    <xdr:sp macro="" textlink="$U$13">
      <xdr:nvSpPr>
        <xdr:cNvPr id="26" name="TextBox 25">
          <a:extLst>
            <a:ext uri="{FF2B5EF4-FFF2-40B4-BE49-F238E27FC236}">
              <a16:creationId xmlns:a16="http://schemas.microsoft.com/office/drawing/2014/main" id="{00000000-0008-0000-0F00-00001A000000}"/>
            </a:ext>
          </a:extLst>
        </xdr:cNvPr>
        <xdr:cNvSpPr txBox="1"/>
      </xdr:nvSpPr>
      <xdr:spPr>
        <a:xfrm>
          <a:off x="10079355" y="4122420"/>
          <a:ext cx="723900" cy="3009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algn="ctr"/>
          <a:fld id="{4F619D6C-0836-40A8-A0C5-6AA8FC34234F}" type="TxLink">
            <a:rPr lang="en-US" sz="900" b="1" i="0" u="none" strike="noStrike">
              <a:solidFill>
                <a:srgbClr val="558ED5"/>
              </a:solidFill>
              <a:latin typeface="Calibri"/>
            </a:rPr>
            <a:pPr algn="ctr"/>
            <a:t>Shopping (18.5%)</a:t>
          </a:fld>
          <a:endParaRPr lang="en-GB" sz="900" b="1">
            <a:solidFill>
              <a:srgbClr val="558ED5"/>
            </a:solidFill>
          </a:endParaRPr>
        </a:p>
      </xdr:txBody>
    </xdr:sp>
    <xdr:clientData/>
  </xdr:twoCellAnchor>
  <xdr:twoCellAnchor>
    <xdr:from>
      <xdr:col>18</xdr:col>
      <xdr:colOff>379095</xdr:colOff>
      <xdr:row>20</xdr:row>
      <xdr:rowOff>17145</xdr:rowOff>
    </xdr:from>
    <xdr:to>
      <xdr:col>20</xdr:col>
      <xdr:colOff>188595</xdr:colOff>
      <xdr:row>21</xdr:row>
      <xdr:rowOff>123825</xdr:rowOff>
    </xdr:to>
    <xdr:sp macro="" textlink="$U$14">
      <xdr:nvSpPr>
        <xdr:cNvPr id="27" name="TextBox 26">
          <a:extLst>
            <a:ext uri="{FF2B5EF4-FFF2-40B4-BE49-F238E27FC236}">
              <a16:creationId xmlns:a16="http://schemas.microsoft.com/office/drawing/2014/main" id="{00000000-0008-0000-0F00-00001B000000}"/>
            </a:ext>
          </a:extLst>
        </xdr:cNvPr>
        <xdr:cNvSpPr txBox="1"/>
      </xdr:nvSpPr>
      <xdr:spPr>
        <a:xfrm>
          <a:off x="9151620" y="4217670"/>
          <a:ext cx="781050" cy="3067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marL="0" indent="0" algn="ctr"/>
          <a:fld id="{C8D78F31-F3B3-49E5-91A7-9A9FE2B1D247}" type="TxLink">
            <a:rPr lang="en-US" sz="900" b="1" i="0" u="none" strike="noStrike">
              <a:solidFill>
                <a:schemeClr val="accent4">
                  <a:lumMod val="60000"/>
                  <a:lumOff val="40000"/>
                </a:schemeClr>
              </a:solidFill>
              <a:latin typeface="Calibri"/>
              <a:ea typeface="+mn-ea"/>
              <a:cs typeface="+mn-cs"/>
            </a:rPr>
            <a:pPr marL="0" indent="0" algn="ctr"/>
            <a:t>Transport (6.6%)</a:t>
          </a:fld>
          <a:endParaRPr lang="en-GB" sz="900" b="1" i="0" u="none" strike="noStrike">
            <a:solidFill>
              <a:schemeClr val="accent4">
                <a:lumMod val="60000"/>
                <a:lumOff val="40000"/>
              </a:schemeClr>
            </a:solidFill>
            <a:latin typeface="Calibri"/>
            <a:ea typeface="+mn-ea"/>
            <a:cs typeface="+mn-cs"/>
          </a:endParaRPr>
        </a:p>
      </xdr:txBody>
    </xdr:sp>
    <xdr:clientData/>
  </xdr:twoCellAnchor>
  <xdr:twoCellAnchor>
    <xdr:from>
      <xdr:col>18</xdr:col>
      <xdr:colOff>9525</xdr:colOff>
      <xdr:row>15</xdr:row>
      <xdr:rowOff>161925</xdr:rowOff>
    </xdr:from>
    <xdr:to>
      <xdr:col>19</xdr:col>
      <xdr:colOff>70485</xdr:colOff>
      <xdr:row>17</xdr:row>
      <xdr:rowOff>68580</xdr:rowOff>
    </xdr:to>
    <xdr:sp macro="" textlink="$U$16">
      <xdr:nvSpPr>
        <xdr:cNvPr id="28" name="TextBox 27">
          <a:extLst>
            <a:ext uri="{FF2B5EF4-FFF2-40B4-BE49-F238E27FC236}">
              <a16:creationId xmlns:a16="http://schemas.microsoft.com/office/drawing/2014/main" id="{00000000-0008-0000-0F00-00001C000000}"/>
            </a:ext>
          </a:extLst>
        </xdr:cNvPr>
        <xdr:cNvSpPr txBox="1"/>
      </xdr:nvSpPr>
      <xdr:spPr>
        <a:xfrm>
          <a:off x="8439150" y="3362325"/>
          <a:ext cx="518160" cy="3067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marL="0" indent="0" algn="ctr"/>
          <a:fld id="{F1260871-C66B-4D55-AFC9-0D518517A725}" type="TxLink">
            <a:rPr lang="en-US" sz="900" b="1" i="0" u="none" strike="noStrike">
              <a:solidFill>
                <a:schemeClr val="tx1">
                  <a:lumMod val="50000"/>
                  <a:lumOff val="50000"/>
                </a:schemeClr>
              </a:solidFill>
              <a:latin typeface="Calibri"/>
              <a:ea typeface="+mn-ea"/>
              <a:cs typeface="+mn-cs"/>
            </a:rPr>
            <a:pPr marL="0" indent="0" algn="ctr"/>
            <a:t>VAT (11.9%)</a:t>
          </a:fld>
          <a:endParaRPr lang="en-GB" sz="900" b="1" i="0" u="none" strike="noStrike">
            <a:solidFill>
              <a:schemeClr val="tx1">
                <a:lumMod val="50000"/>
                <a:lumOff val="50000"/>
              </a:schemeClr>
            </a:solidFill>
            <a:latin typeface="Calibri"/>
            <a:ea typeface="+mn-ea"/>
            <a:cs typeface="+mn-cs"/>
          </a:endParaRPr>
        </a:p>
      </xdr:txBody>
    </xdr:sp>
    <xdr:clientData/>
  </xdr:twoCellAnchor>
  <xdr:twoCellAnchor>
    <xdr:from>
      <xdr:col>17</xdr:col>
      <xdr:colOff>409575</xdr:colOff>
      <xdr:row>10</xdr:row>
      <xdr:rowOff>102870</xdr:rowOff>
    </xdr:from>
    <xdr:to>
      <xdr:col>20</xdr:col>
      <xdr:colOff>150495</xdr:colOff>
      <xdr:row>12</xdr:row>
      <xdr:rowOff>19050</xdr:rowOff>
    </xdr:to>
    <xdr:sp macro="" textlink="$U$18">
      <xdr:nvSpPr>
        <xdr:cNvPr id="29" name="TextBox 28">
          <a:extLst>
            <a:ext uri="{FF2B5EF4-FFF2-40B4-BE49-F238E27FC236}">
              <a16:creationId xmlns:a16="http://schemas.microsoft.com/office/drawing/2014/main" id="{00000000-0008-0000-0F00-00001D000000}"/>
            </a:ext>
          </a:extLst>
        </xdr:cNvPr>
        <xdr:cNvSpPr txBox="1"/>
      </xdr:nvSpPr>
      <xdr:spPr>
        <a:xfrm>
          <a:off x="8382000" y="2303145"/>
          <a:ext cx="1112520" cy="3162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pPr marL="0" indent="0" algn="ctr"/>
          <a:fld id="{C9CE049A-2245-4771-B491-6B8982D45A3E}" type="TxLink">
            <a:rPr lang="en-US" sz="900" b="1" i="0" u="none" strike="noStrike">
              <a:solidFill>
                <a:schemeClr val="accent3">
                  <a:lumMod val="75000"/>
                </a:schemeClr>
              </a:solidFill>
              <a:latin typeface="Calibri"/>
              <a:ea typeface="+mn-ea"/>
              <a:cs typeface="+mn-cs"/>
            </a:rPr>
            <a:pPr marL="0" indent="0" algn="ctr"/>
            <a:t>Indirect Expenditure (26.5%)</a:t>
          </a:fld>
          <a:endParaRPr lang="en-GB" sz="900" b="1" i="0" u="none" strike="noStrike">
            <a:solidFill>
              <a:schemeClr val="accent3">
                <a:lumMod val="75000"/>
              </a:schemeClr>
            </a:solidFill>
            <a:latin typeface="Calibri"/>
            <a:ea typeface="+mn-ea"/>
            <a:cs typeface="+mn-cs"/>
          </a:endParaRPr>
        </a:p>
      </xdr:txBody>
    </xdr:sp>
    <xdr:clientData/>
  </xdr:twoCellAnchor>
  <xdr:twoCellAnchor>
    <xdr:from>
      <xdr:col>19</xdr:col>
      <xdr:colOff>57150</xdr:colOff>
      <xdr:row>7</xdr:row>
      <xdr:rowOff>68580</xdr:rowOff>
    </xdr:from>
    <xdr:to>
      <xdr:col>23</xdr:col>
      <xdr:colOff>411480</xdr:colOff>
      <xdr:row>9</xdr:row>
      <xdr:rowOff>66675</xdr:rowOff>
    </xdr:to>
    <xdr:sp macro="" textlink="$E$8">
      <xdr:nvSpPr>
        <xdr:cNvPr id="30" name="TextBox 19">
          <a:extLst>
            <a:ext uri="{FF2B5EF4-FFF2-40B4-BE49-F238E27FC236}">
              <a16:creationId xmlns:a16="http://schemas.microsoft.com/office/drawing/2014/main" id="{00000000-0008-0000-0F00-00001E000000}"/>
            </a:ext>
          </a:extLst>
        </xdr:cNvPr>
        <xdr:cNvSpPr txBox="1"/>
      </xdr:nvSpPr>
      <xdr:spPr>
        <a:xfrm>
          <a:off x="8943975" y="1668780"/>
          <a:ext cx="2183130" cy="398145"/>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wrap="square" lIns="0" tIns="0" rIns="0" bIns="0" rtlCol="0" anchor="ctr" anchorCtr="1"/>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D7461CA4-CEF5-4F50-9148-3A5031C4F860}" type="TxLink">
            <a:rPr lang="en-US" sz="1000" b="1" i="0" u="none" strike="noStrike">
              <a:solidFill>
                <a:schemeClr val="accent1"/>
              </a:solidFill>
              <a:latin typeface="Calibri"/>
            </a:rPr>
            <a:pPr algn="ctr"/>
            <a:t>SECTORAL DISTRIBUTION OF ECONOMIC IMPACT - £BN INCLUDING VAT INDEXED TO 2022</a:t>
          </a:fld>
          <a:endParaRPr lang="en-GB" sz="1000">
            <a:solidFill>
              <a:schemeClr val="accent1"/>
            </a:solidFill>
          </a:endParaRPr>
        </a:p>
      </xdr:txBody>
    </xdr:sp>
    <xdr:clientData/>
  </xdr:twoCellAnchor>
  <xdr:twoCellAnchor>
    <xdr:from>
      <xdr:col>20</xdr:col>
      <xdr:colOff>133350</xdr:colOff>
      <xdr:row>35</xdr:row>
      <xdr:rowOff>171450</xdr:rowOff>
    </xdr:from>
    <xdr:to>
      <xdr:col>21</xdr:col>
      <xdr:colOff>405194</xdr:colOff>
      <xdr:row>37</xdr:row>
      <xdr:rowOff>113632</xdr:rowOff>
    </xdr:to>
    <xdr:sp macro="" textlink="'SECTORAL ANALYSIS'!$U$28">
      <xdr:nvSpPr>
        <xdr:cNvPr id="32" name="TextBox 19">
          <a:extLst>
            <a:ext uri="{FF2B5EF4-FFF2-40B4-BE49-F238E27FC236}">
              <a16:creationId xmlns:a16="http://schemas.microsoft.com/office/drawing/2014/main" id="{00000000-0008-0000-0F00-000020000000}"/>
            </a:ext>
          </a:extLst>
        </xdr:cNvPr>
        <xdr:cNvSpPr txBox="1"/>
      </xdr:nvSpPr>
      <xdr:spPr>
        <a:xfrm>
          <a:off x="9877425" y="7372350"/>
          <a:ext cx="757619" cy="3422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337ADD4B-99B7-43DF-8F24-B7C7080E887D}" type="TxLink">
            <a:rPr lang="en-US" sz="900" b="1" i="0" u="none" strike="noStrike">
              <a:solidFill>
                <a:schemeClr val="tx2">
                  <a:lumMod val="60000"/>
                  <a:lumOff val="40000"/>
                </a:schemeClr>
              </a:solidFill>
              <a:latin typeface="Calibri"/>
              <a:ea typeface="+mn-ea"/>
              <a:cs typeface="+mn-cs"/>
            </a:rPr>
            <a:pPr marL="0" indent="0" algn="ctr"/>
            <a:t>Shopping (18.8%)</a:t>
          </a:fld>
          <a:endParaRPr lang="en-GB" sz="900" b="1" i="0" u="none" strike="noStrike">
            <a:solidFill>
              <a:schemeClr val="tx2">
                <a:lumMod val="60000"/>
                <a:lumOff val="40000"/>
              </a:schemeClr>
            </a:solidFill>
            <a:latin typeface="Calibri"/>
            <a:ea typeface="+mn-ea"/>
            <a:cs typeface="+mn-cs"/>
          </a:endParaRPr>
        </a:p>
      </xdr:txBody>
    </xdr:sp>
    <xdr:clientData/>
  </xdr:twoCellAnchor>
</xdr:wsDr>
</file>

<file path=xl/drawings/drawing16.xml><?xml version="1.0" encoding="utf-8"?>
<c:userShapes xmlns:c="http://schemas.openxmlformats.org/drawingml/2006/chart">
  <cdr:relSizeAnchor xmlns:cdr="http://schemas.openxmlformats.org/drawingml/2006/chartDrawing">
    <cdr:from>
      <cdr:x>0</cdr:x>
      <cdr:y>0</cdr:y>
    </cdr:from>
    <cdr:to>
      <cdr:x>0.17392</cdr:x>
      <cdr:y>0.09882</cdr:y>
    </cdr:to>
    <cdr:sp macro="" textlink="'SECTORAL ANALYSIS'!$S$9">
      <cdr:nvSpPr>
        <cdr:cNvPr id="7" name="TextBox 19"/>
        <cdr:cNvSpPr txBox="1"/>
      </cdr:nvSpPr>
      <cdr:spPr>
        <a:xfrm xmlns:a="http://schemas.openxmlformats.org/drawingml/2006/main">
          <a:off x="0" y="0"/>
          <a:ext cx="471796" cy="271271"/>
        </a:xfrm>
        <a:prstGeom xmlns:a="http://schemas.openxmlformats.org/drawingml/2006/main" prst="rect">
          <a:avLst/>
        </a:prstGeom>
        <a:solidFill xmlns:a="http://schemas.openxmlformats.org/drawingml/2006/main">
          <a:schemeClr val="bg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1"/>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fld id="{31755073-5CF0-4C14-B7FD-03AB8E316933}" type="TxLink">
            <a:rPr lang="en-US" sz="1600" b="1" i="0" u="none" strike="noStrike">
              <a:solidFill>
                <a:schemeClr val="accent1"/>
              </a:solidFill>
              <a:latin typeface="Calibri"/>
            </a:rPr>
            <a:pPr/>
            <a:t>2022</a:t>
          </a:fld>
          <a:endParaRPr lang="en-GB" sz="1600">
            <a:solidFill>
              <a:schemeClr val="accent1"/>
            </a:solidFill>
          </a:endParaRPr>
        </a:p>
      </cdr:txBody>
    </cdr:sp>
  </cdr:relSizeAnchor>
</c:userShapes>
</file>

<file path=xl/drawings/drawing17.xml><?xml version="1.0" encoding="utf-8"?>
<c:userShapes xmlns:c="http://schemas.openxmlformats.org/drawingml/2006/chart">
  <cdr:relSizeAnchor xmlns:cdr="http://schemas.openxmlformats.org/drawingml/2006/chartDrawing">
    <cdr:from>
      <cdr:x>0.31925</cdr:x>
      <cdr:y>0.14054</cdr:y>
    </cdr:from>
    <cdr:to>
      <cdr:x>0.71816</cdr:x>
      <cdr:y>0.26521</cdr:y>
    </cdr:to>
    <cdr:sp macro="" textlink="'SECTORAL ANALYSIS'!$U$25">
      <cdr:nvSpPr>
        <cdr:cNvPr id="7" name="TextBox 19"/>
        <cdr:cNvSpPr txBox="1"/>
      </cdr:nvSpPr>
      <cdr:spPr>
        <a:xfrm xmlns:a="http://schemas.openxmlformats.org/drawingml/2006/main">
          <a:off x="890363" y="396238"/>
          <a:ext cx="1112521" cy="351495"/>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1"/>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fld id="{9EF65FCF-DA26-4878-944F-DA0E9B855524}" type="TxLink">
            <a:rPr lang="en-US" sz="900" b="1" i="0" u="none" strike="noStrike">
              <a:solidFill>
                <a:schemeClr val="tx2"/>
              </a:solidFill>
              <a:latin typeface="Calibri"/>
            </a:rPr>
            <a:pPr algn="ctr"/>
            <a:t>Accommodation (33.1%)</a:t>
          </a:fld>
          <a:endParaRPr lang="en-GB" sz="900" b="1">
            <a:solidFill>
              <a:schemeClr val="tx2"/>
            </a:solidFill>
          </a:endParaRPr>
        </a:p>
      </cdr:txBody>
    </cdr:sp>
  </cdr:relSizeAnchor>
  <cdr:relSizeAnchor xmlns:cdr="http://schemas.openxmlformats.org/drawingml/2006/chartDrawing">
    <cdr:from>
      <cdr:x>0.01366</cdr:x>
      <cdr:y>0.35045</cdr:y>
    </cdr:from>
    <cdr:to>
      <cdr:x>0.41257</cdr:x>
      <cdr:y>0.47512</cdr:y>
    </cdr:to>
    <cdr:sp macro="" textlink="'SECTORAL ANALYSIS'!$U$31">
      <cdr:nvSpPr>
        <cdr:cNvPr id="10" name="TextBox 19"/>
        <cdr:cNvSpPr txBox="1"/>
      </cdr:nvSpPr>
      <cdr:spPr>
        <a:xfrm xmlns:a="http://schemas.openxmlformats.org/drawingml/2006/main">
          <a:off x="38100" y="988072"/>
          <a:ext cx="1112528" cy="35149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1"/>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fld id="{DF3655E4-A77C-4F11-95A2-0FC45D176844}" type="TxLink">
            <a:rPr lang="en-US" sz="900" b="1" i="0" u="none" strike="noStrike">
              <a:solidFill>
                <a:schemeClr val="accent3">
                  <a:lumMod val="75000"/>
                </a:schemeClr>
              </a:solidFill>
              <a:latin typeface="Calibri"/>
            </a:rPr>
            <a:pPr algn="ctr"/>
            <a:t>Indirect Employment (19.5%)</a:t>
          </a:fld>
          <a:endParaRPr lang="en-GB" sz="900" b="1">
            <a:solidFill>
              <a:schemeClr val="accent3">
                <a:lumMod val="75000"/>
              </a:schemeClr>
            </a:solidFill>
          </a:endParaRPr>
        </a:p>
      </cdr:txBody>
    </cdr:sp>
  </cdr:relSizeAnchor>
  <cdr:relSizeAnchor xmlns:cdr="http://schemas.openxmlformats.org/drawingml/2006/chartDrawing">
    <cdr:from>
      <cdr:x>0.6833</cdr:x>
      <cdr:y>0.34505</cdr:y>
    </cdr:from>
    <cdr:to>
      <cdr:x>1</cdr:x>
      <cdr:y>0.46972</cdr:y>
    </cdr:to>
    <cdr:sp macro="" textlink="'SECTORAL ANALYSIS'!$U$26">
      <cdr:nvSpPr>
        <cdr:cNvPr id="11" name="TextBox 19"/>
        <cdr:cNvSpPr txBox="1"/>
      </cdr:nvSpPr>
      <cdr:spPr>
        <a:xfrm xmlns:a="http://schemas.openxmlformats.org/drawingml/2006/main">
          <a:off x="1905669" y="972834"/>
          <a:ext cx="883251" cy="351495"/>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1"/>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fld id="{8A773207-B0CD-4D54-A927-3072FECD4FCD}" type="TxLink">
            <a:rPr lang="en-US" sz="900" b="1" i="0" u="none" strike="noStrike">
              <a:solidFill>
                <a:schemeClr val="accent2"/>
              </a:solidFill>
              <a:latin typeface="Calibri"/>
            </a:rPr>
            <a:pPr algn="ctr"/>
            <a:t>Food &amp; Drink (19.2%)</a:t>
          </a:fld>
          <a:endParaRPr lang="en-GB" sz="900" b="1">
            <a:solidFill>
              <a:schemeClr val="accent2"/>
            </a:solidFill>
          </a:endParaRPr>
        </a:p>
      </cdr:txBody>
    </cdr:sp>
  </cdr:relSizeAnchor>
  <cdr:relSizeAnchor xmlns:cdr="http://schemas.openxmlformats.org/drawingml/2006/chartDrawing">
    <cdr:from>
      <cdr:x>0.73521</cdr:x>
      <cdr:y>0.82342</cdr:y>
    </cdr:from>
    <cdr:to>
      <cdr:x>0.98907</cdr:x>
      <cdr:y>0.9481</cdr:y>
    </cdr:to>
    <cdr:sp macro="" textlink="'SECTORAL ANALYSIS'!$U$27">
      <cdr:nvSpPr>
        <cdr:cNvPr id="12" name="TextBox 19"/>
        <cdr:cNvSpPr txBox="1"/>
      </cdr:nvSpPr>
      <cdr:spPr>
        <a:xfrm xmlns:a="http://schemas.openxmlformats.org/drawingml/2006/main">
          <a:off x="2050445" y="2321553"/>
          <a:ext cx="707995" cy="351522"/>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1"/>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fld id="{B07C63FB-7C85-4141-885A-D45A05D65C67}" type="TxLink">
            <a:rPr lang="en-US" sz="900" b="1" i="0" u="none" strike="noStrike">
              <a:solidFill>
                <a:schemeClr val="accent6">
                  <a:lumMod val="75000"/>
                </a:schemeClr>
              </a:solidFill>
              <a:latin typeface="Calibri"/>
            </a:rPr>
            <a:pPr algn="ctr"/>
            <a:t>Recreation (6.2%)</a:t>
          </a:fld>
          <a:endParaRPr lang="en-GB" sz="900" b="1">
            <a:solidFill>
              <a:schemeClr val="accent6">
                <a:lumMod val="75000"/>
              </a:schemeClr>
            </a:solidFill>
          </a:endParaRPr>
        </a:p>
      </cdr:txBody>
    </cdr:sp>
  </cdr:relSizeAnchor>
  <cdr:relSizeAnchor xmlns:cdr="http://schemas.openxmlformats.org/drawingml/2006/chartDrawing">
    <cdr:from>
      <cdr:x>0</cdr:x>
      <cdr:y>0.74526</cdr:y>
    </cdr:from>
    <cdr:to>
      <cdr:x>0.26875</cdr:x>
      <cdr:y>0.86994</cdr:y>
    </cdr:to>
    <cdr:sp macro="" textlink="'SECTORAL ANALYSIS'!$U$29">
      <cdr:nvSpPr>
        <cdr:cNvPr id="14" name="TextBox 19"/>
        <cdr:cNvSpPr txBox="1"/>
      </cdr:nvSpPr>
      <cdr:spPr>
        <a:xfrm xmlns:a="http://schemas.openxmlformats.org/drawingml/2006/main">
          <a:off x="0" y="2045828"/>
          <a:ext cx="729044" cy="342260"/>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1"/>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fld id="{C606975F-E2E3-4AF7-9C7B-D4427408313B}" type="TxLink">
            <a:rPr lang="en-US" sz="900" b="1" i="0" u="none" strike="noStrike">
              <a:solidFill>
                <a:schemeClr val="accent4">
                  <a:lumMod val="60000"/>
                  <a:lumOff val="40000"/>
                </a:schemeClr>
              </a:solidFill>
              <a:latin typeface="Calibri"/>
            </a:rPr>
            <a:pPr algn="ctr"/>
            <a:t>Transport (3.2%)</a:t>
          </a:fld>
          <a:endParaRPr lang="en-GB" sz="900" b="1">
            <a:solidFill>
              <a:schemeClr val="accent4">
                <a:lumMod val="60000"/>
                <a:lumOff val="40000"/>
              </a:schemeClr>
            </a:solidFill>
          </a:endParaRPr>
        </a:p>
      </cdr:txBody>
    </cdr:sp>
  </cdr:relSizeAnchor>
</c:userShapes>
</file>

<file path=xl/drawings/drawing18.xml><?xml version="1.0" encoding="utf-8"?>
<xdr:wsDr xmlns:xdr="http://schemas.openxmlformats.org/drawingml/2006/spreadsheetDrawing" xmlns:a="http://schemas.openxmlformats.org/drawingml/2006/main">
  <xdr:twoCellAnchor>
    <xdr:from>
      <xdr:col>4</xdr:col>
      <xdr:colOff>91441</xdr:colOff>
      <xdr:row>1</xdr:row>
      <xdr:rowOff>106680</xdr:rowOff>
    </xdr:from>
    <xdr:to>
      <xdr:col>4</xdr:col>
      <xdr:colOff>358141</xdr:colOff>
      <xdr:row>2</xdr:row>
      <xdr:rowOff>260040</xdr:rowOff>
    </xdr:to>
    <xdr:pic>
      <xdr:nvPicPr>
        <xdr:cNvPr id="3" name="Picture 2" descr="logovvsm.jpg">
          <a:extLst>
            <a:ext uri="{FF2B5EF4-FFF2-40B4-BE49-F238E27FC236}">
              <a16:creationId xmlns:a16="http://schemas.microsoft.com/office/drawing/2014/main" id="{00000000-0008-0000-1000-000003000000}"/>
            </a:ext>
          </a:extLst>
        </xdr:cNvPr>
        <xdr:cNvPicPr>
          <a:picLocks noChangeAspect="1"/>
        </xdr:cNvPicPr>
      </xdr:nvPicPr>
      <xdr:blipFill>
        <a:blip xmlns:r="http://schemas.openxmlformats.org/officeDocument/2006/relationships" r:embed="rId1" cstate="print"/>
        <a:stretch>
          <a:fillRect/>
        </a:stretch>
      </xdr:blipFill>
      <xdr:spPr>
        <a:xfrm>
          <a:off x="1432561" y="106680"/>
          <a:ext cx="266700" cy="359100"/>
        </a:xfrm>
        <a:prstGeom prst="roundRect">
          <a:avLst>
            <a:gd name="adj" fmla="val 8594"/>
          </a:avLst>
        </a:prstGeom>
        <a:solidFill>
          <a:srgbClr val="FFFFFF">
            <a:shade val="85000"/>
          </a:srgbClr>
        </a:solidFill>
        <a:ln>
          <a:noFill/>
        </a:ln>
        <a:effectLst>
          <a:outerShdw blurRad="63500" sx="102000" sy="102000" algn="ctr" rotWithShape="0">
            <a:prstClr val="black">
              <a:alpha val="40000"/>
            </a:prstClr>
          </a:outerShdw>
        </a:effectLst>
      </xdr:spPr>
    </xdr:pic>
    <xdr:clientData/>
  </xdr:twoCellAnchor>
  <xdr:twoCellAnchor>
    <xdr:from>
      <xdr:col>4</xdr:col>
      <xdr:colOff>403860</xdr:colOff>
      <xdr:row>1</xdr:row>
      <xdr:rowOff>99060</xdr:rowOff>
    </xdr:from>
    <xdr:to>
      <xdr:col>7</xdr:col>
      <xdr:colOff>251460</xdr:colOff>
      <xdr:row>2</xdr:row>
      <xdr:rowOff>274320</xdr:rowOff>
    </xdr:to>
    <xdr:sp macro="" textlink="REP.gts">
      <xdr:nvSpPr>
        <xdr:cNvPr id="4" name="TextBox 3">
          <a:extLst>
            <a:ext uri="{FF2B5EF4-FFF2-40B4-BE49-F238E27FC236}">
              <a16:creationId xmlns:a16="http://schemas.microsoft.com/office/drawing/2014/main" id="{00000000-0008-0000-1000-000004000000}"/>
            </a:ext>
          </a:extLst>
        </xdr:cNvPr>
        <xdr:cNvSpPr txBox="1"/>
      </xdr:nvSpPr>
      <xdr:spPr>
        <a:xfrm>
          <a:off x="1744980" y="99060"/>
          <a:ext cx="2011680" cy="381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fld id="{3BA988AB-649B-451C-8315-D0DA89BAC50D}" type="TxLink">
            <a:rPr lang="en-US" sz="900" b="1" i="0" u="none" strike="noStrike">
              <a:solidFill>
                <a:srgbClr val="000000"/>
              </a:solidFill>
              <a:latin typeface="+mn-lt"/>
            </a:rPr>
            <a:pPr algn="l"/>
            <a:t>Global Tourism Solutions (UK) Ltd</a:t>
          </a:fld>
          <a:endParaRPr lang="en-GB" sz="900" b="1">
            <a:latin typeface="+mn-lt"/>
          </a:endParaRPr>
        </a:p>
      </xdr:txBody>
    </xdr:sp>
    <xdr:clientData/>
  </xdr:twoCellAnchor>
  <xdr:twoCellAnchor editAs="oneCell">
    <xdr:from>
      <xdr:col>22</xdr:col>
      <xdr:colOff>320041</xdr:colOff>
      <xdr:row>3</xdr:row>
      <xdr:rowOff>45721</xdr:rowOff>
    </xdr:from>
    <xdr:to>
      <xdr:col>23</xdr:col>
      <xdr:colOff>398146</xdr:colOff>
      <xdr:row>4</xdr:row>
      <xdr:rowOff>299165</xdr:rowOff>
    </xdr:to>
    <xdr:pic>
      <xdr:nvPicPr>
        <xdr:cNvPr id="7" name="Picture 6">
          <a:hlinkClick xmlns:r="http://schemas.openxmlformats.org/officeDocument/2006/relationships" r:id="rId2" tooltip="Home - Navigation Page"/>
          <a:extLst>
            <a:ext uri="{FF2B5EF4-FFF2-40B4-BE49-F238E27FC236}">
              <a16:creationId xmlns:a16="http://schemas.microsoft.com/office/drawing/2014/main" id="{00000000-0008-0000-1000-000007000000}"/>
            </a:ext>
          </a:extLst>
        </xdr:cNvPr>
        <xdr:cNvPicPr>
          <a:picLocks noChangeAspect="1"/>
        </xdr:cNvPicPr>
      </xdr:nvPicPr>
      <xdr:blipFill>
        <a:blip xmlns:r="http://schemas.openxmlformats.org/officeDocument/2006/relationships" r:embed="rId3" cstate="print">
          <a:grayscl/>
          <a:extLst>
            <a:ext uri="{28A0092B-C50C-407E-A947-70E740481C1C}">
              <a14:useLocalDpi xmlns:a14="http://schemas.microsoft.com/office/drawing/2010/main" val="0"/>
            </a:ext>
          </a:extLst>
        </a:blip>
        <a:stretch>
          <a:fillRect/>
        </a:stretch>
      </xdr:blipFill>
      <xdr:spPr>
        <a:xfrm>
          <a:off x="10911841" y="586741"/>
          <a:ext cx="579120" cy="588724"/>
        </a:xfrm>
        <a:prstGeom prst="rect">
          <a:avLst/>
        </a:prstGeom>
      </xdr:spPr>
    </xdr:pic>
    <xdr:clientData/>
  </xdr:twoCellAnchor>
  <xdr:twoCellAnchor>
    <xdr:from>
      <xdr:col>6</xdr:col>
      <xdr:colOff>220980</xdr:colOff>
      <xdr:row>3</xdr:row>
      <xdr:rowOff>160020</xdr:rowOff>
    </xdr:from>
    <xdr:to>
      <xdr:col>21</xdr:col>
      <xdr:colOff>167640</xdr:colOff>
      <xdr:row>4</xdr:row>
      <xdr:rowOff>129540</xdr:rowOff>
    </xdr:to>
    <xdr:sp macro="" textlink="">
      <xdr:nvSpPr>
        <xdr:cNvPr id="24" name="Rectangle 23">
          <a:extLst>
            <a:ext uri="{FF2B5EF4-FFF2-40B4-BE49-F238E27FC236}">
              <a16:creationId xmlns:a16="http://schemas.microsoft.com/office/drawing/2014/main" id="{00000000-0008-0000-1000-000018000000}"/>
            </a:ext>
          </a:extLst>
        </xdr:cNvPr>
        <xdr:cNvSpPr/>
      </xdr:nvSpPr>
      <xdr:spPr>
        <a:xfrm>
          <a:off x="3253740" y="701040"/>
          <a:ext cx="7033260" cy="304800"/>
        </a:xfrm>
        <a:prstGeom prst="rect">
          <a:avLst/>
        </a:prstGeom>
        <a:noFill/>
        <a:ln>
          <a:noFill/>
        </a:ln>
        <a:effectLst>
          <a:outerShdw blurRad="63500" sx="102000" sy="102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lIns="36000" tIns="36000" rIns="36000" bIns="36000" rtlCol="0" anchor="ctr"/>
        <a:lstStyle/>
        <a:p>
          <a:pPr algn="r"/>
          <a:r>
            <a:rPr lang="en-GB" sz="1000" b="1">
              <a:solidFill>
                <a:schemeClr val="tx1">
                  <a:lumMod val="65000"/>
                  <a:lumOff val="35000"/>
                </a:schemeClr>
              </a:solidFill>
            </a:rPr>
            <a:t>Pressing this on-screen "Home" button on</a:t>
          </a:r>
          <a:r>
            <a:rPr lang="en-GB" sz="1000" b="1" baseline="0">
              <a:solidFill>
                <a:schemeClr val="tx1">
                  <a:lumMod val="65000"/>
                  <a:lumOff val="35000"/>
                </a:schemeClr>
              </a:solidFill>
            </a:rPr>
            <a:t> any sheet of the report takes you back to the navigation page</a:t>
          </a:r>
          <a:endParaRPr lang="en-GB" sz="1000" b="0" i="1" baseline="0">
            <a:solidFill>
              <a:schemeClr val="tx1">
                <a:lumMod val="65000"/>
                <a:lumOff val="35000"/>
              </a:schemeClr>
            </a:solidFill>
          </a:endParaRPr>
        </a:p>
      </xdr:txBody>
    </xdr:sp>
    <xdr:clientData fPrintsWithSheet="0"/>
  </xdr:twoCellAnchor>
  <xdr:twoCellAnchor>
    <xdr:from>
      <xdr:col>21</xdr:col>
      <xdr:colOff>220980</xdr:colOff>
      <xdr:row>3</xdr:row>
      <xdr:rowOff>243840</xdr:rowOff>
    </xdr:from>
    <xdr:to>
      <xdr:col>22</xdr:col>
      <xdr:colOff>243840</xdr:colOff>
      <xdr:row>4</xdr:row>
      <xdr:rowOff>60960</xdr:rowOff>
    </xdr:to>
    <xdr:sp macro="" textlink="">
      <xdr:nvSpPr>
        <xdr:cNvPr id="25" name="Right Arrow 24">
          <a:extLst>
            <a:ext uri="{FF2B5EF4-FFF2-40B4-BE49-F238E27FC236}">
              <a16:creationId xmlns:a16="http://schemas.microsoft.com/office/drawing/2014/main" id="{00000000-0008-0000-1000-000019000000}"/>
            </a:ext>
          </a:extLst>
        </xdr:cNvPr>
        <xdr:cNvSpPr/>
      </xdr:nvSpPr>
      <xdr:spPr>
        <a:xfrm>
          <a:off x="10340340" y="784860"/>
          <a:ext cx="495300" cy="152400"/>
        </a:xfrm>
        <a:prstGeom prst="rightArrow">
          <a:avLst>
            <a:gd name="adj1" fmla="val 50000"/>
            <a:gd name="adj2" fmla="val 47183"/>
          </a:avLst>
        </a:prstGeom>
        <a:solidFill>
          <a:schemeClr val="bg1">
            <a:lumMod val="85000"/>
          </a:schemeClr>
        </a:solidFill>
        <a:ln w="22225">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chemeClr val="tx1"/>
            </a:solidFill>
          </a:endParaRPr>
        </a:p>
      </xdr:txBody>
    </xdr:sp>
    <xdr:clientData/>
  </xdr:twoCellAnchor>
  <xdr:twoCellAnchor>
    <xdr:from>
      <xdr:col>4</xdr:col>
      <xdr:colOff>190500</xdr:colOff>
      <xdr:row>5</xdr:row>
      <xdr:rowOff>53340</xdr:rowOff>
    </xdr:from>
    <xdr:to>
      <xdr:col>23</xdr:col>
      <xdr:colOff>56520</xdr:colOff>
      <xdr:row>11</xdr:row>
      <xdr:rowOff>91440</xdr:rowOff>
    </xdr:to>
    <xdr:grpSp>
      <xdr:nvGrpSpPr>
        <xdr:cNvPr id="13" name="Group 12">
          <a:extLst>
            <a:ext uri="{FF2B5EF4-FFF2-40B4-BE49-F238E27FC236}">
              <a16:creationId xmlns:a16="http://schemas.microsoft.com/office/drawing/2014/main" id="{00000000-0008-0000-1000-00000D000000}"/>
            </a:ext>
          </a:extLst>
        </xdr:cNvPr>
        <xdr:cNvGrpSpPr/>
      </xdr:nvGrpSpPr>
      <xdr:grpSpPr>
        <a:xfrm>
          <a:off x="1737360" y="1264920"/>
          <a:ext cx="10107300" cy="1272540"/>
          <a:chOff x="1531620" y="1264920"/>
          <a:chExt cx="9589140" cy="1272540"/>
        </a:xfrm>
      </xdr:grpSpPr>
      <xdr:grpSp>
        <xdr:nvGrpSpPr>
          <xdr:cNvPr id="6" name="Group 5">
            <a:extLst>
              <a:ext uri="{FF2B5EF4-FFF2-40B4-BE49-F238E27FC236}">
                <a16:creationId xmlns:a16="http://schemas.microsoft.com/office/drawing/2014/main" id="{00000000-0008-0000-1000-000006000000}"/>
              </a:ext>
            </a:extLst>
          </xdr:cNvPr>
          <xdr:cNvGrpSpPr/>
        </xdr:nvGrpSpPr>
        <xdr:grpSpPr>
          <a:xfrm>
            <a:off x="2766060" y="1264920"/>
            <a:ext cx="8354700" cy="1219200"/>
            <a:chOff x="6103620" y="1242060"/>
            <a:chExt cx="5040000" cy="1219200"/>
          </a:xfrm>
          <a:effectLst/>
        </xdr:grpSpPr>
        <xdr:sp macro="" textlink="REP.subzone">
          <xdr:nvSpPr>
            <xdr:cNvPr id="11" name="Rectangle 10">
              <a:extLst>
                <a:ext uri="{FF2B5EF4-FFF2-40B4-BE49-F238E27FC236}">
                  <a16:creationId xmlns:a16="http://schemas.microsoft.com/office/drawing/2014/main" id="{00000000-0008-0000-1000-00000B000000}"/>
                </a:ext>
              </a:extLst>
            </xdr:cNvPr>
            <xdr:cNvSpPr/>
          </xdr:nvSpPr>
          <xdr:spPr>
            <a:xfrm>
              <a:off x="6103620" y="2209800"/>
              <a:ext cx="5033485" cy="251460"/>
            </a:xfrm>
            <a:prstGeom prst="rect">
              <a:avLst/>
            </a:prstGeom>
            <a:gradFill>
              <a:gsLst>
                <a:gs pos="23000">
                  <a:schemeClr val="accent3">
                    <a:lumMod val="50000"/>
                  </a:schemeClr>
                </a:gs>
                <a:gs pos="100000">
                  <a:srgbClr val="00B050"/>
                </a:gs>
                <a:gs pos="0">
                  <a:schemeClr val="bg1"/>
                </a:gs>
              </a:gsLst>
              <a:lin ang="0" scaled="1"/>
            </a:gradFill>
            <a:ln w="3492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r"/>
              <a:fld id="{0776199B-D5C8-46FB-BDF0-CB73B3A411C1}" type="TxLink">
                <a:rPr lang="en-US" sz="1200" b="1" i="1" u="none" strike="noStrike">
                  <a:solidFill>
                    <a:schemeClr val="bg1"/>
                  </a:solidFill>
                  <a:latin typeface="Calibri"/>
                  <a:ea typeface="+mn-ea"/>
                  <a:cs typeface="+mn-cs"/>
                </a:rPr>
                <a:pPr marL="0" indent="0" algn="r"/>
                <a:t> </a:t>
              </a:fld>
              <a:endParaRPr lang="en-GB" sz="1200" b="1" i="1" u="none" strike="noStrike">
                <a:solidFill>
                  <a:schemeClr val="bg1"/>
                </a:solidFill>
                <a:latin typeface="Calibri"/>
                <a:ea typeface="+mn-ea"/>
                <a:cs typeface="+mn-cs"/>
              </a:endParaRPr>
            </a:p>
          </xdr:txBody>
        </xdr:sp>
        <xdr:sp macro="" textlink="REP.status">
          <xdr:nvSpPr>
            <xdr:cNvPr id="12" name="Rectangle 11">
              <a:extLst>
                <a:ext uri="{FF2B5EF4-FFF2-40B4-BE49-F238E27FC236}">
                  <a16:creationId xmlns:a16="http://schemas.microsoft.com/office/drawing/2014/main" id="{00000000-0008-0000-1000-00000C000000}"/>
                </a:ext>
              </a:extLst>
            </xdr:cNvPr>
            <xdr:cNvSpPr/>
          </xdr:nvSpPr>
          <xdr:spPr>
            <a:xfrm>
              <a:off x="6103620" y="1569720"/>
              <a:ext cx="5040000" cy="198120"/>
            </a:xfrm>
            <a:prstGeom prst="rect">
              <a:avLst/>
            </a:prstGeom>
            <a:gradFill>
              <a:gsLst>
                <a:gs pos="42834">
                  <a:schemeClr val="tx1">
                    <a:lumMod val="50000"/>
                    <a:lumOff val="50000"/>
                  </a:schemeClr>
                </a:gs>
                <a:gs pos="100000">
                  <a:schemeClr val="tx1">
                    <a:lumMod val="65000"/>
                    <a:lumOff val="35000"/>
                  </a:schemeClr>
                </a:gs>
                <a:gs pos="0">
                  <a:schemeClr val="bg1"/>
                </a:gs>
              </a:gsLst>
              <a:lin ang="0" scaled="1"/>
            </a:gradFill>
            <a:ln w="3492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fld id="{D4656592-28D1-4D60-98C6-AA2C8DB144CE}" type="TxLink">
                <a:rPr lang="en-US" sz="1000" b="1" i="0" u="none" strike="noStrike">
                  <a:solidFill>
                    <a:schemeClr val="bg1"/>
                  </a:solidFill>
                  <a:latin typeface="Calibri"/>
                </a:rPr>
                <a:pPr algn="r"/>
                <a:t>Final</a:t>
              </a:fld>
              <a:endParaRPr lang="en-GB" sz="1200" b="1" i="1">
                <a:solidFill>
                  <a:schemeClr val="bg1"/>
                </a:solidFill>
              </a:endParaRPr>
            </a:p>
          </xdr:txBody>
        </xdr:sp>
        <xdr:sp macro="" textlink="REP.authority">
          <xdr:nvSpPr>
            <xdr:cNvPr id="10" name="Rectangle 9">
              <a:extLst>
                <a:ext uri="{FF2B5EF4-FFF2-40B4-BE49-F238E27FC236}">
                  <a16:creationId xmlns:a16="http://schemas.microsoft.com/office/drawing/2014/main" id="{00000000-0008-0000-1000-00000A000000}"/>
                </a:ext>
              </a:extLst>
            </xdr:cNvPr>
            <xdr:cNvSpPr/>
          </xdr:nvSpPr>
          <xdr:spPr>
            <a:xfrm>
              <a:off x="6103620" y="1790700"/>
              <a:ext cx="5033485" cy="419100"/>
            </a:xfrm>
            <a:prstGeom prst="rect">
              <a:avLst/>
            </a:prstGeom>
            <a:gradFill>
              <a:gsLst>
                <a:gs pos="23000">
                  <a:schemeClr val="accent3">
                    <a:lumMod val="50000"/>
                  </a:schemeClr>
                </a:gs>
                <a:gs pos="100000">
                  <a:srgbClr val="00B050"/>
                </a:gs>
                <a:gs pos="0">
                  <a:schemeClr val="bg1"/>
                </a:gs>
              </a:gsLst>
              <a:lin ang="0" scaled="1"/>
            </a:gradFill>
            <a:ln w="3492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fld id="{0E26FCAA-BB34-4B88-8DD5-3D1AD87C7D6C}" type="TxLink">
                <a:rPr lang="en-US" sz="1600" b="1" i="0" u="none" strike="noStrike">
                  <a:solidFill>
                    <a:schemeClr val="bg1"/>
                  </a:solidFill>
                  <a:latin typeface="Calibri"/>
                </a:rPr>
                <a:pPr algn="r"/>
                <a:t>GWYNEDD COUNCIL</a:t>
              </a:fld>
              <a:endParaRPr lang="en-GB" sz="1600" b="1">
                <a:solidFill>
                  <a:schemeClr val="bg1"/>
                </a:solidFill>
              </a:endParaRPr>
            </a:p>
          </xdr:txBody>
        </xdr:sp>
        <xdr:sp macro="" textlink="REP.title1">
          <xdr:nvSpPr>
            <xdr:cNvPr id="2" name="Rectangle 1">
              <a:extLst>
                <a:ext uri="{FF2B5EF4-FFF2-40B4-BE49-F238E27FC236}">
                  <a16:creationId xmlns:a16="http://schemas.microsoft.com/office/drawing/2014/main" id="{00000000-0008-0000-1000-000002000000}"/>
                </a:ext>
              </a:extLst>
            </xdr:cNvPr>
            <xdr:cNvSpPr/>
          </xdr:nvSpPr>
          <xdr:spPr>
            <a:xfrm>
              <a:off x="6103620" y="1242060"/>
              <a:ext cx="5040000" cy="304800"/>
            </a:xfrm>
            <a:prstGeom prst="rect">
              <a:avLst/>
            </a:prstGeom>
            <a:gradFill>
              <a:gsLst>
                <a:gs pos="15000">
                  <a:schemeClr val="accent1"/>
                </a:gs>
                <a:gs pos="100000">
                  <a:schemeClr val="accent1">
                    <a:lumMod val="50000"/>
                  </a:schemeClr>
                </a:gs>
                <a:gs pos="0">
                  <a:schemeClr val="bg1"/>
                </a:gs>
              </a:gsLst>
              <a:lin ang="0" scaled="1"/>
            </a:gradFill>
            <a:ln w="3492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fld id="{00586C74-0256-4893-90E2-92E700CA2734}" type="TxLink">
                <a:rPr lang="en-US" sz="1600" b="1" i="0" u="none" strike="noStrike">
                  <a:solidFill>
                    <a:schemeClr val="bg1"/>
                  </a:solidFill>
                  <a:latin typeface="Calibri"/>
                </a:rPr>
                <a:pPr algn="r"/>
                <a:t>STEAM FINAL TREND REPORT FOR 2011-2022</a:t>
              </a:fld>
              <a:endParaRPr lang="en-GB" sz="1600" b="1">
                <a:solidFill>
                  <a:schemeClr val="bg1"/>
                </a:solidFill>
              </a:endParaRPr>
            </a:p>
          </xdr:txBody>
        </xdr:sp>
      </xdr:grpSp>
      <xdr:sp macro="" textlink="">
        <xdr:nvSpPr>
          <xdr:cNvPr id="8" name="Rectangle 7">
            <a:extLst>
              <a:ext uri="{FF2B5EF4-FFF2-40B4-BE49-F238E27FC236}">
                <a16:creationId xmlns:a16="http://schemas.microsoft.com/office/drawing/2014/main" id="{00000000-0008-0000-1000-000008000000}"/>
              </a:ext>
            </a:extLst>
          </xdr:cNvPr>
          <xdr:cNvSpPr/>
        </xdr:nvSpPr>
        <xdr:spPr>
          <a:xfrm>
            <a:off x="1531620" y="1318260"/>
            <a:ext cx="969264" cy="1219200"/>
          </a:xfrm>
          <a:prstGeom prst="rect">
            <a:avLst/>
          </a:prstGeom>
          <a:blipFill dpi="0" rotWithShape="1">
            <a:blip xmlns:r="http://schemas.openxmlformats.org/officeDocument/2006/relationships" r:embed="rId4"/>
            <a:srcRect/>
            <a:stretch>
              <a:fillRect/>
            </a:stretch>
          </a:blipFill>
          <a:ln>
            <a:noFill/>
          </a:ln>
          <a:effectLst>
            <a:softEdge rad="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wsDr>
</file>

<file path=xl/drawings/drawing19.xml><?xml version="1.0" encoding="utf-8"?>
<xdr:wsDr xmlns:xdr="http://schemas.openxmlformats.org/drawingml/2006/spreadsheetDrawing" xmlns:a="http://schemas.openxmlformats.org/drawingml/2006/main">
  <xdr:twoCellAnchor>
    <xdr:from>
      <xdr:col>4</xdr:col>
      <xdr:colOff>91441</xdr:colOff>
      <xdr:row>1</xdr:row>
      <xdr:rowOff>106680</xdr:rowOff>
    </xdr:from>
    <xdr:to>
      <xdr:col>4</xdr:col>
      <xdr:colOff>358141</xdr:colOff>
      <xdr:row>2</xdr:row>
      <xdr:rowOff>260040</xdr:rowOff>
    </xdr:to>
    <xdr:pic>
      <xdr:nvPicPr>
        <xdr:cNvPr id="2" name="Picture 1" descr="logovvsm.jpg">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cstate="print"/>
        <a:stretch>
          <a:fillRect/>
        </a:stretch>
      </xdr:blipFill>
      <xdr:spPr>
        <a:xfrm>
          <a:off x="1386841" y="106680"/>
          <a:ext cx="266700" cy="353385"/>
        </a:xfrm>
        <a:prstGeom prst="roundRect">
          <a:avLst>
            <a:gd name="adj" fmla="val 8594"/>
          </a:avLst>
        </a:prstGeom>
        <a:solidFill>
          <a:srgbClr val="FFFFFF">
            <a:shade val="85000"/>
          </a:srgbClr>
        </a:solidFill>
        <a:ln>
          <a:noFill/>
        </a:ln>
        <a:effectLst>
          <a:outerShdw blurRad="63500" sx="102000" sy="102000" algn="ctr" rotWithShape="0">
            <a:prstClr val="black">
              <a:alpha val="40000"/>
            </a:prstClr>
          </a:outerShdw>
        </a:effectLst>
      </xdr:spPr>
    </xdr:pic>
    <xdr:clientData/>
  </xdr:twoCellAnchor>
  <xdr:twoCellAnchor>
    <xdr:from>
      <xdr:col>4</xdr:col>
      <xdr:colOff>403860</xdr:colOff>
      <xdr:row>1</xdr:row>
      <xdr:rowOff>99060</xdr:rowOff>
    </xdr:from>
    <xdr:to>
      <xdr:col>7</xdr:col>
      <xdr:colOff>251460</xdr:colOff>
      <xdr:row>2</xdr:row>
      <xdr:rowOff>274320</xdr:rowOff>
    </xdr:to>
    <xdr:sp macro="" textlink="REP.gts">
      <xdr:nvSpPr>
        <xdr:cNvPr id="3" name="TextBox 2">
          <a:extLst>
            <a:ext uri="{FF2B5EF4-FFF2-40B4-BE49-F238E27FC236}">
              <a16:creationId xmlns:a16="http://schemas.microsoft.com/office/drawing/2014/main" id="{00000000-0008-0000-1100-000003000000}"/>
            </a:ext>
          </a:extLst>
        </xdr:cNvPr>
        <xdr:cNvSpPr txBox="1"/>
      </xdr:nvSpPr>
      <xdr:spPr>
        <a:xfrm>
          <a:off x="1699260" y="99060"/>
          <a:ext cx="1981200" cy="37528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fld id="{3BA988AB-649B-451C-8315-D0DA89BAC50D}" type="TxLink">
            <a:rPr lang="en-US" sz="900" b="1" i="0" u="none" strike="noStrike">
              <a:solidFill>
                <a:srgbClr val="000000"/>
              </a:solidFill>
              <a:latin typeface="+mn-lt"/>
            </a:rPr>
            <a:pPr algn="l"/>
            <a:t>Global Tourism Solutions (UK) Ltd</a:t>
          </a:fld>
          <a:endParaRPr lang="en-GB" sz="900" b="1">
            <a:latin typeface="+mn-lt"/>
          </a:endParaRPr>
        </a:p>
      </xdr:txBody>
    </xdr:sp>
    <xdr:clientData/>
  </xdr:twoCellAnchor>
  <xdr:twoCellAnchor>
    <xdr:from>
      <xdr:col>4</xdr:col>
      <xdr:colOff>60960</xdr:colOff>
      <xdr:row>3</xdr:row>
      <xdr:rowOff>15240</xdr:rowOff>
    </xdr:from>
    <xdr:to>
      <xdr:col>21</xdr:col>
      <xdr:colOff>45720</xdr:colOff>
      <xdr:row>3</xdr:row>
      <xdr:rowOff>320040</xdr:rowOff>
    </xdr:to>
    <xdr:sp macro="" textlink="">
      <xdr:nvSpPr>
        <xdr:cNvPr id="4" name="Rectangle 3">
          <a:extLst>
            <a:ext uri="{FF2B5EF4-FFF2-40B4-BE49-F238E27FC236}">
              <a16:creationId xmlns:a16="http://schemas.microsoft.com/office/drawing/2014/main" id="{00000000-0008-0000-1100-000004000000}"/>
            </a:ext>
          </a:extLst>
        </xdr:cNvPr>
        <xdr:cNvSpPr/>
      </xdr:nvSpPr>
      <xdr:spPr>
        <a:xfrm>
          <a:off x="1356360" y="548640"/>
          <a:ext cx="8919210" cy="304800"/>
        </a:xfrm>
        <a:prstGeom prst="rect">
          <a:avLst/>
        </a:prstGeom>
        <a:noFill/>
        <a:ln>
          <a:noFill/>
        </a:ln>
        <a:effectLst>
          <a:outerShdw blurRad="63500" sx="102000" sy="102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lIns="36000" tIns="36000" rIns="36000" bIns="36000" rtlCol="0" anchor="ctr"/>
        <a:lstStyle/>
        <a:p>
          <a:pPr algn="l"/>
          <a:endParaRPr lang="en-GB" sz="1000" b="0" i="1" baseline="0">
            <a:solidFill>
              <a:schemeClr val="bg1"/>
            </a:solidFill>
          </a:endParaRPr>
        </a:p>
      </xdr:txBody>
    </xdr:sp>
    <xdr:clientData fPrintsWithSheet="0"/>
  </xdr:twoCellAnchor>
  <xdr:twoCellAnchor editAs="oneCell">
    <xdr:from>
      <xdr:col>22</xdr:col>
      <xdr:colOff>320041</xdr:colOff>
      <xdr:row>3</xdr:row>
      <xdr:rowOff>45721</xdr:rowOff>
    </xdr:from>
    <xdr:to>
      <xdr:col>23</xdr:col>
      <xdr:colOff>398146</xdr:colOff>
      <xdr:row>4</xdr:row>
      <xdr:rowOff>299165</xdr:rowOff>
    </xdr:to>
    <xdr:pic>
      <xdr:nvPicPr>
        <xdr:cNvPr id="5" name="Picture 4">
          <a:hlinkClick xmlns:r="http://schemas.openxmlformats.org/officeDocument/2006/relationships" r:id="rId2" tooltip="Home - Navigation Page"/>
          <a:extLst>
            <a:ext uri="{FF2B5EF4-FFF2-40B4-BE49-F238E27FC236}">
              <a16:creationId xmlns:a16="http://schemas.microsoft.com/office/drawing/2014/main" id="{00000000-0008-0000-1100-000005000000}"/>
            </a:ext>
          </a:extLst>
        </xdr:cNvPr>
        <xdr:cNvPicPr>
          <a:picLocks noChangeAspect="1"/>
        </xdr:cNvPicPr>
      </xdr:nvPicPr>
      <xdr:blipFill>
        <a:blip xmlns:r="http://schemas.openxmlformats.org/officeDocument/2006/relationships" r:embed="rId3" cstate="print">
          <a:grayscl/>
          <a:extLst>
            <a:ext uri="{28A0092B-C50C-407E-A947-70E740481C1C}">
              <a14:useLocalDpi xmlns:a14="http://schemas.microsoft.com/office/drawing/2010/main" val="0"/>
            </a:ext>
          </a:extLst>
        </a:blip>
        <a:stretch>
          <a:fillRect/>
        </a:stretch>
      </xdr:blipFill>
      <xdr:spPr>
        <a:xfrm>
          <a:off x="11035666" y="579121"/>
          <a:ext cx="563880" cy="586819"/>
        </a:xfrm>
        <a:prstGeom prst="rect">
          <a:avLst/>
        </a:prstGeom>
      </xdr:spPr>
    </xdr:pic>
    <xdr:clientData/>
  </xdr:twoCellAnchor>
  <xdr:twoCellAnchor>
    <xdr:from>
      <xdr:col>7</xdr:col>
      <xdr:colOff>236220</xdr:colOff>
      <xdr:row>1</xdr:row>
      <xdr:rowOff>91440</xdr:rowOff>
    </xdr:from>
    <xdr:to>
      <xdr:col>22</xdr:col>
      <xdr:colOff>182880</xdr:colOff>
      <xdr:row>2</xdr:row>
      <xdr:rowOff>190500</xdr:rowOff>
    </xdr:to>
    <xdr:sp macro="" textlink="">
      <xdr:nvSpPr>
        <xdr:cNvPr id="6" name="Rectangle 5">
          <a:extLst>
            <a:ext uri="{FF2B5EF4-FFF2-40B4-BE49-F238E27FC236}">
              <a16:creationId xmlns:a16="http://schemas.microsoft.com/office/drawing/2014/main" id="{00000000-0008-0000-1100-000006000000}"/>
            </a:ext>
          </a:extLst>
        </xdr:cNvPr>
        <xdr:cNvSpPr/>
      </xdr:nvSpPr>
      <xdr:spPr>
        <a:xfrm>
          <a:off x="3665220" y="91440"/>
          <a:ext cx="7233285" cy="299085"/>
        </a:xfrm>
        <a:prstGeom prst="rect">
          <a:avLst/>
        </a:prstGeom>
        <a:noFill/>
        <a:ln>
          <a:noFill/>
        </a:ln>
        <a:effectLst>
          <a:outerShdw blurRad="63500" sx="102000" sy="102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lIns="36000" tIns="36000" rIns="36000" bIns="36000" rtlCol="0" anchor="ctr"/>
        <a:lstStyle/>
        <a:p>
          <a:pPr algn="r"/>
          <a:r>
            <a:rPr lang="en-GB" sz="1000" b="1">
              <a:solidFill>
                <a:schemeClr val="tx1">
                  <a:lumMod val="65000"/>
                  <a:lumOff val="35000"/>
                </a:schemeClr>
              </a:solidFill>
            </a:rPr>
            <a:t>Pressing this on-screen "Home" button on</a:t>
          </a:r>
          <a:r>
            <a:rPr lang="en-GB" sz="1000" b="1" baseline="0">
              <a:solidFill>
                <a:schemeClr val="tx1">
                  <a:lumMod val="65000"/>
                  <a:lumOff val="35000"/>
                </a:schemeClr>
              </a:solidFill>
            </a:rPr>
            <a:t> any sheet of the report takes you back to the navigation page</a:t>
          </a:r>
          <a:endParaRPr lang="en-GB" sz="1000" b="0" i="1" baseline="0">
            <a:solidFill>
              <a:schemeClr val="tx1">
                <a:lumMod val="65000"/>
                <a:lumOff val="35000"/>
              </a:schemeClr>
            </a:solidFill>
          </a:endParaRPr>
        </a:p>
      </xdr:txBody>
    </xdr:sp>
    <xdr:clientData fPrintsWithSheet="0"/>
  </xdr:twoCellAnchor>
  <xdr:twoCellAnchor>
    <xdr:from>
      <xdr:col>22</xdr:col>
      <xdr:colOff>232410</xdr:colOff>
      <xdr:row>2</xdr:row>
      <xdr:rowOff>11430</xdr:rowOff>
    </xdr:from>
    <xdr:to>
      <xdr:col>23</xdr:col>
      <xdr:colOff>190500</xdr:colOff>
      <xdr:row>2</xdr:row>
      <xdr:rowOff>281940</xdr:rowOff>
    </xdr:to>
    <xdr:sp macro="" textlink="">
      <xdr:nvSpPr>
        <xdr:cNvPr id="7" name="Bent Arrow 6">
          <a:extLst>
            <a:ext uri="{FF2B5EF4-FFF2-40B4-BE49-F238E27FC236}">
              <a16:creationId xmlns:a16="http://schemas.microsoft.com/office/drawing/2014/main" id="{00000000-0008-0000-1100-000007000000}"/>
            </a:ext>
          </a:extLst>
        </xdr:cNvPr>
        <xdr:cNvSpPr/>
      </xdr:nvSpPr>
      <xdr:spPr>
        <a:xfrm rot="5400000">
          <a:off x="11034713" y="124777"/>
          <a:ext cx="270510" cy="443865"/>
        </a:xfrm>
        <a:prstGeom prst="bentArrow">
          <a:avLst/>
        </a:prstGeom>
        <a:solidFill>
          <a:schemeClr val="bg1">
            <a:lumMod val="85000"/>
          </a:schemeClr>
        </a:solidFill>
        <a:ln w="22225">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chemeClr val="tx1"/>
            </a:solidFill>
          </a:endParaRPr>
        </a:p>
      </xdr:txBody>
    </xdr:sp>
    <xdr:clientData/>
  </xdr:twoCellAnchor>
  <xdr:twoCellAnchor>
    <xdr:from>
      <xdr:col>18</xdr:col>
      <xdr:colOff>40005</xdr:colOff>
      <xdr:row>26</xdr:row>
      <xdr:rowOff>125729</xdr:rowOff>
    </xdr:from>
    <xdr:to>
      <xdr:col>18</xdr:col>
      <xdr:colOff>346709</xdr:colOff>
      <xdr:row>27</xdr:row>
      <xdr:rowOff>81915</xdr:rowOff>
    </xdr:to>
    <xdr:sp macro="" textlink="$F$29">
      <xdr:nvSpPr>
        <xdr:cNvPr id="8" name="TextBox 7">
          <a:extLst>
            <a:ext uri="{FF2B5EF4-FFF2-40B4-BE49-F238E27FC236}">
              <a16:creationId xmlns:a16="http://schemas.microsoft.com/office/drawing/2014/main" id="{00000000-0008-0000-1100-000008000000}"/>
            </a:ext>
          </a:extLst>
        </xdr:cNvPr>
        <xdr:cNvSpPr txBox="1"/>
      </xdr:nvSpPr>
      <xdr:spPr>
        <a:xfrm>
          <a:off x="8812530" y="5526404"/>
          <a:ext cx="306704" cy="15621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fld id="{263D66BB-E62C-4EBF-9923-B946FBE9ABDE}" type="TxLink">
            <a:rPr lang="en-US" sz="900" b="1" i="0" u="none" strike="noStrike">
              <a:solidFill>
                <a:sysClr val="windowText" lastClr="000000"/>
              </a:solidFill>
              <a:latin typeface="Calibri"/>
            </a:rPr>
            <a:pPr algn="ctr"/>
            <a:t> </a:t>
          </a:fld>
          <a:endParaRPr lang="en-US" sz="800" b="1" i="0" u="none" strike="noStrike">
            <a:solidFill>
              <a:sysClr val="windowText" lastClr="000000"/>
            </a:solidFill>
            <a:latin typeface="Calibri"/>
          </a:endParaRPr>
        </a:p>
      </xdr:txBody>
    </xdr:sp>
    <xdr:clientData/>
  </xdr:twoCellAnchor>
  <xdr:twoCellAnchor>
    <xdr:from>
      <xdr:col>8</xdr:col>
      <xdr:colOff>19051</xdr:colOff>
      <xdr:row>7</xdr:row>
      <xdr:rowOff>76200</xdr:rowOff>
    </xdr:from>
    <xdr:to>
      <xdr:col>13</xdr:col>
      <xdr:colOff>38176</xdr:colOff>
      <xdr:row>12</xdr:row>
      <xdr:rowOff>47625</xdr:rowOff>
    </xdr:to>
    <xdr:grpSp>
      <xdr:nvGrpSpPr>
        <xdr:cNvPr id="25" name="Group 24">
          <a:extLst>
            <a:ext uri="{FF2B5EF4-FFF2-40B4-BE49-F238E27FC236}">
              <a16:creationId xmlns:a16="http://schemas.microsoft.com/office/drawing/2014/main" id="{00000000-0008-0000-1100-000019000000}"/>
            </a:ext>
          </a:extLst>
        </xdr:cNvPr>
        <xdr:cNvGrpSpPr/>
      </xdr:nvGrpSpPr>
      <xdr:grpSpPr>
        <a:xfrm>
          <a:off x="4057651" y="1699260"/>
          <a:ext cx="2533725" cy="1000125"/>
          <a:chOff x="1381126" y="1666875"/>
          <a:chExt cx="2390774" cy="971550"/>
        </a:xfrm>
      </xdr:grpSpPr>
      <xdr:sp macro="" textlink="">
        <xdr:nvSpPr>
          <xdr:cNvPr id="22" name="Rectangle 21">
            <a:extLst>
              <a:ext uri="{FF2B5EF4-FFF2-40B4-BE49-F238E27FC236}">
                <a16:creationId xmlns:a16="http://schemas.microsoft.com/office/drawing/2014/main" id="{00000000-0008-0000-1100-000016000000}"/>
              </a:ext>
            </a:extLst>
          </xdr:cNvPr>
          <xdr:cNvSpPr/>
        </xdr:nvSpPr>
        <xdr:spPr>
          <a:xfrm>
            <a:off x="1381126" y="1666875"/>
            <a:ext cx="2390774" cy="971550"/>
          </a:xfrm>
          <a:prstGeom prst="rect">
            <a:avLst/>
          </a:prstGeom>
          <a:solidFill>
            <a:srgbClr val="00B0F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000" b="1"/>
              <a:t>USER GUIDE</a:t>
            </a:r>
          </a:p>
        </xdr:txBody>
      </xdr:sp>
      <xdr:pic>
        <xdr:nvPicPr>
          <xdr:cNvPr id="21" name="Picture 20">
            <a:extLst>
              <a:ext uri="{FF2B5EF4-FFF2-40B4-BE49-F238E27FC236}">
                <a16:creationId xmlns:a16="http://schemas.microsoft.com/office/drawing/2014/main" id="{00000000-0008-0000-1100-000015000000}"/>
              </a:ext>
            </a:extLst>
          </xdr:cNvPr>
          <xdr:cNvPicPr>
            <a:picLocks noChangeAspect="1" noChangeArrowheads="1"/>
          </xdr:cNvPicPr>
        </xdr:nvPicPr>
        <xdr:blipFill>
          <a:blip xmlns:r="http://schemas.openxmlformats.org/officeDocument/2006/relationships" r:embed="rId4"/>
          <a:srcRect/>
          <a:stretch>
            <a:fillRect/>
          </a:stretch>
        </xdr:blipFill>
        <xdr:spPr bwMode="auto">
          <a:xfrm>
            <a:off x="1438275" y="1905002"/>
            <a:ext cx="1095375" cy="675080"/>
          </a:xfrm>
          <a:prstGeom prst="rect">
            <a:avLst/>
          </a:prstGeom>
          <a:solidFill>
            <a:srgbClr xmlns:mc="http://schemas.openxmlformats.org/markup-compatibility/2006" xmlns:a14="http://schemas.microsoft.com/office/drawing/2010/main" val="FFFFFF" mc:Ignorable="a14" a14:legacySpreadsheetColorIndex="9"/>
          </a:solidFill>
          <a:ln w="25400">
            <a:noFill/>
            <a:miter lim="800000"/>
            <a:headEnd/>
            <a:tailEnd/>
          </a:ln>
        </xdr:spPr>
      </xdr:pic>
      <xdr:sp macro="" textlink="">
        <xdr:nvSpPr>
          <xdr:cNvPr id="24" name="Rectangle 23">
            <a:extLst>
              <a:ext uri="{FF2B5EF4-FFF2-40B4-BE49-F238E27FC236}">
                <a16:creationId xmlns:a16="http://schemas.microsoft.com/office/drawing/2014/main" id="{00000000-0008-0000-1100-000018000000}"/>
              </a:ext>
            </a:extLst>
          </xdr:cNvPr>
          <xdr:cNvSpPr/>
        </xdr:nvSpPr>
        <xdr:spPr>
          <a:xfrm>
            <a:off x="2628900" y="1905000"/>
            <a:ext cx="1095480" cy="6750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800" b="1">
                <a:solidFill>
                  <a:schemeClr val="tx1">
                    <a:lumMod val="50000"/>
                    <a:lumOff val="50000"/>
                  </a:schemeClr>
                </a:solidFill>
              </a:rPr>
              <a:t>3</a:t>
            </a:r>
          </a:p>
        </xdr:txBody>
      </xdr:sp>
    </xdr:grpSp>
    <xdr:clientData/>
  </xdr:twoCellAnchor>
  <xdr:twoCellAnchor>
    <xdr:from>
      <xdr:col>13</xdr:col>
      <xdr:colOff>219076</xdr:colOff>
      <xdr:row>7</xdr:row>
      <xdr:rowOff>76200</xdr:rowOff>
    </xdr:from>
    <xdr:to>
      <xdr:col>18</xdr:col>
      <xdr:colOff>238201</xdr:colOff>
      <xdr:row>12</xdr:row>
      <xdr:rowOff>47625</xdr:rowOff>
    </xdr:to>
    <xdr:grpSp>
      <xdr:nvGrpSpPr>
        <xdr:cNvPr id="26" name="Group 25">
          <a:extLst>
            <a:ext uri="{FF2B5EF4-FFF2-40B4-BE49-F238E27FC236}">
              <a16:creationId xmlns:a16="http://schemas.microsoft.com/office/drawing/2014/main" id="{00000000-0008-0000-1100-00001A000000}"/>
            </a:ext>
          </a:extLst>
        </xdr:cNvPr>
        <xdr:cNvGrpSpPr/>
      </xdr:nvGrpSpPr>
      <xdr:grpSpPr>
        <a:xfrm>
          <a:off x="6772276" y="1699260"/>
          <a:ext cx="2533725" cy="1000125"/>
          <a:chOff x="1381126" y="1666875"/>
          <a:chExt cx="2390774" cy="971550"/>
        </a:xfrm>
      </xdr:grpSpPr>
      <xdr:sp macro="" textlink="">
        <xdr:nvSpPr>
          <xdr:cNvPr id="27" name="Rectangle 26">
            <a:extLst>
              <a:ext uri="{FF2B5EF4-FFF2-40B4-BE49-F238E27FC236}">
                <a16:creationId xmlns:a16="http://schemas.microsoft.com/office/drawing/2014/main" id="{00000000-0008-0000-1100-00001B000000}"/>
              </a:ext>
            </a:extLst>
          </xdr:cNvPr>
          <xdr:cNvSpPr/>
        </xdr:nvSpPr>
        <xdr:spPr>
          <a:xfrm>
            <a:off x="1381126" y="1666875"/>
            <a:ext cx="2390774" cy="971550"/>
          </a:xfrm>
          <a:prstGeom prst="rect">
            <a:avLst/>
          </a:prstGeom>
          <a:solidFill>
            <a:srgbClr val="FFC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000" b="1">
                <a:solidFill>
                  <a:sysClr val="windowText" lastClr="000000"/>
                </a:solidFill>
              </a:rPr>
              <a:t>COMPARATIVE HEADLINES</a:t>
            </a:r>
          </a:p>
        </xdr:txBody>
      </xdr:sp>
      <xdr:pic>
        <xdr:nvPicPr>
          <xdr:cNvPr id="28" name="Picture 27">
            <a:extLst>
              <a:ext uri="{FF2B5EF4-FFF2-40B4-BE49-F238E27FC236}">
                <a16:creationId xmlns:a16="http://schemas.microsoft.com/office/drawing/2014/main" id="{00000000-0008-0000-1100-00001C000000}"/>
              </a:ext>
            </a:extLst>
          </xdr:cNvPr>
          <xdr:cNvPicPr>
            <a:picLocks noChangeAspect="1" noChangeArrowheads="1"/>
          </xdr:cNvPicPr>
        </xdr:nvPicPr>
        <xdr:blipFill>
          <a:blip xmlns:r="http://schemas.openxmlformats.org/officeDocument/2006/relationships" r:embed="rId5"/>
          <a:srcRect/>
          <a:stretch>
            <a:fillRect/>
          </a:stretch>
        </xdr:blipFill>
        <xdr:spPr bwMode="auto">
          <a:xfrm>
            <a:off x="1438275" y="1905002"/>
            <a:ext cx="1095375" cy="675080"/>
          </a:xfrm>
          <a:prstGeom prst="rect">
            <a:avLst/>
          </a:prstGeom>
          <a:solidFill>
            <a:srgbClr xmlns:mc="http://schemas.openxmlformats.org/markup-compatibility/2006" xmlns:a14="http://schemas.microsoft.com/office/drawing/2010/main" val="FFFFFF" mc:Ignorable="a14" a14:legacySpreadsheetColorIndex="9"/>
          </a:solidFill>
          <a:ln w="25400">
            <a:noFill/>
            <a:miter lim="800000"/>
            <a:headEnd/>
            <a:tailEnd/>
          </a:ln>
        </xdr:spPr>
      </xdr:pic>
      <xdr:sp macro="" textlink="">
        <xdr:nvSpPr>
          <xdr:cNvPr id="29" name="Rectangle 28">
            <a:extLst>
              <a:ext uri="{FF2B5EF4-FFF2-40B4-BE49-F238E27FC236}">
                <a16:creationId xmlns:a16="http://schemas.microsoft.com/office/drawing/2014/main" id="{00000000-0008-0000-1100-00001D000000}"/>
              </a:ext>
            </a:extLst>
          </xdr:cNvPr>
          <xdr:cNvSpPr/>
        </xdr:nvSpPr>
        <xdr:spPr>
          <a:xfrm>
            <a:off x="2628900" y="1905000"/>
            <a:ext cx="1095480" cy="6750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800" b="1">
                <a:solidFill>
                  <a:schemeClr val="tx1">
                    <a:lumMod val="50000"/>
                    <a:lumOff val="50000"/>
                  </a:schemeClr>
                </a:solidFill>
              </a:rPr>
              <a:t>4</a:t>
            </a:r>
          </a:p>
        </xdr:txBody>
      </xdr:sp>
    </xdr:grpSp>
    <xdr:clientData/>
  </xdr:twoCellAnchor>
  <xdr:twoCellAnchor>
    <xdr:from>
      <xdr:col>18</xdr:col>
      <xdr:colOff>447676</xdr:colOff>
      <xdr:row>7</xdr:row>
      <xdr:rowOff>76200</xdr:rowOff>
    </xdr:from>
    <xdr:to>
      <xdr:col>23</xdr:col>
      <xdr:colOff>466801</xdr:colOff>
      <xdr:row>12</xdr:row>
      <xdr:rowOff>47625</xdr:rowOff>
    </xdr:to>
    <xdr:grpSp>
      <xdr:nvGrpSpPr>
        <xdr:cNvPr id="30" name="Group 29">
          <a:extLst>
            <a:ext uri="{FF2B5EF4-FFF2-40B4-BE49-F238E27FC236}">
              <a16:creationId xmlns:a16="http://schemas.microsoft.com/office/drawing/2014/main" id="{00000000-0008-0000-1100-00001E000000}"/>
            </a:ext>
          </a:extLst>
        </xdr:cNvPr>
        <xdr:cNvGrpSpPr/>
      </xdr:nvGrpSpPr>
      <xdr:grpSpPr>
        <a:xfrm>
          <a:off x="9515476" y="1699260"/>
          <a:ext cx="2533725" cy="1000125"/>
          <a:chOff x="1381126" y="1666875"/>
          <a:chExt cx="2390774" cy="971550"/>
        </a:xfrm>
      </xdr:grpSpPr>
      <xdr:sp macro="" textlink="">
        <xdr:nvSpPr>
          <xdr:cNvPr id="31" name="Rectangle 30">
            <a:extLst>
              <a:ext uri="{FF2B5EF4-FFF2-40B4-BE49-F238E27FC236}">
                <a16:creationId xmlns:a16="http://schemas.microsoft.com/office/drawing/2014/main" id="{00000000-0008-0000-1100-00001F000000}"/>
              </a:ext>
            </a:extLst>
          </xdr:cNvPr>
          <xdr:cNvSpPr/>
        </xdr:nvSpPr>
        <xdr:spPr>
          <a:xfrm>
            <a:off x="1381126" y="1666875"/>
            <a:ext cx="2390774" cy="971550"/>
          </a:xfrm>
          <a:prstGeom prst="rect">
            <a:avLst/>
          </a:prstGeom>
          <a:solidFill>
            <a:schemeClr val="accent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000" b="1">
                <a:solidFill>
                  <a:schemeClr val="bg1"/>
                </a:solidFill>
              </a:rPr>
              <a:t>KEY MEASURES</a:t>
            </a:r>
          </a:p>
        </xdr:txBody>
      </xdr:sp>
      <xdr:pic>
        <xdr:nvPicPr>
          <xdr:cNvPr id="32" name="Picture 31">
            <a:extLst>
              <a:ext uri="{FF2B5EF4-FFF2-40B4-BE49-F238E27FC236}">
                <a16:creationId xmlns:a16="http://schemas.microsoft.com/office/drawing/2014/main" id="{00000000-0008-0000-1100-000020000000}"/>
              </a:ext>
            </a:extLst>
          </xdr:cNvPr>
          <xdr:cNvPicPr>
            <a:picLocks noChangeAspect="1" noChangeArrowheads="1"/>
          </xdr:cNvPicPr>
        </xdr:nvPicPr>
        <xdr:blipFill>
          <a:blip xmlns:r="http://schemas.openxmlformats.org/officeDocument/2006/relationships" r:embed="rId6"/>
          <a:srcRect/>
          <a:stretch>
            <a:fillRect/>
          </a:stretch>
        </xdr:blipFill>
        <xdr:spPr bwMode="auto">
          <a:xfrm>
            <a:off x="1438275" y="1905002"/>
            <a:ext cx="1095375" cy="675080"/>
          </a:xfrm>
          <a:prstGeom prst="rect">
            <a:avLst/>
          </a:prstGeom>
          <a:solidFill>
            <a:srgbClr xmlns:mc="http://schemas.openxmlformats.org/markup-compatibility/2006" xmlns:a14="http://schemas.microsoft.com/office/drawing/2010/main" val="FFFFFF" mc:Ignorable="a14" a14:legacySpreadsheetColorIndex="9"/>
          </a:solidFill>
          <a:ln w="25400">
            <a:noFill/>
            <a:miter lim="800000"/>
            <a:headEnd/>
            <a:tailEnd/>
          </a:ln>
        </xdr:spPr>
      </xdr:pic>
      <xdr:sp macro="" textlink="">
        <xdr:nvSpPr>
          <xdr:cNvPr id="33" name="Rectangle 32">
            <a:extLst>
              <a:ext uri="{FF2B5EF4-FFF2-40B4-BE49-F238E27FC236}">
                <a16:creationId xmlns:a16="http://schemas.microsoft.com/office/drawing/2014/main" id="{00000000-0008-0000-1100-000021000000}"/>
              </a:ext>
            </a:extLst>
          </xdr:cNvPr>
          <xdr:cNvSpPr/>
        </xdr:nvSpPr>
        <xdr:spPr>
          <a:xfrm>
            <a:off x="2628900" y="1905000"/>
            <a:ext cx="1095480" cy="6750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800" b="1">
                <a:solidFill>
                  <a:schemeClr val="tx1">
                    <a:lumMod val="50000"/>
                    <a:lumOff val="50000"/>
                  </a:schemeClr>
                </a:solidFill>
              </a:rPr>
              <a:t>5-11</a:t>
            </a:r>
          </a:p>
        </xdr:txBody>
      </xdr:sp>
    </xdr:grpSp>
    <xdr:clientData/>
  </xdr:twoCellAnchor>
  <xdr:twoCellAnchor>
    <xdr:from>
      <xdr:col>8</xdr:col>
      <xdr:colOff>19050</xdr:colOff>
      <xdr:row>24</xdr:row>
      <xdr:rowOff>114300</xdr:rowOff>
    </xdr:from>
    <xdr:to>
      <xdr:col>13</xdr:col>
      <xdr:colOff>38175</xdr:colOff>
      <xdr:row>29</xdr:row>
      <xdr:rowOff>85725</xdr:rowOff>
    </xdr:to>
    <xdr:grpSp>
      <xdr:nvGrpSpPr>
        <xdr:cNvPr id="72" name="Group 71">
          <a:extLst>
            <a:ext uri="{FF2B5EF4-FFF2-40B4-BE49-F238E27FC236}">
              <a16:creationId xmlns:a16="http://schemas.microsoft.com/office/drawing/2014/main" id="{00000000-0008-0000-1100-000048000000}"/>
            </a:ext>
          </a:extLst>
        </xdr:cNvPr>
        <xdr:cNvGrpSpPr/>
      </xdr:nvGrpSpPr>
      <xdr:grpSpPr>
        <a:xfrm>
          <a:off x="4057650" y="5234940"/>
          <a:ext cx="2533725" cy="1000125"/>
          <a:chOff x="1381126" y="1666875"/>
          <a:chExt cx="2390774" cy="971550"/>
        </a:xfrm>
      </xdr:grpSpPr>
      <xdr:sp macro="" textlink="">
        <xdr:nvSpPr>
          <xdr:cNvPr id="73" name="Rectangle 72">
            <a:extLst>
              <a:ext uri="{FF2B5EF4-FFF2-40B4-BE49-F238E27FC236}">
                <a16:creationId xmlns:a16="http://schemas.microsoft.com/office/drawing/2014/main" id="{00000000-0008-0000-1100-000049000000}"/>
              </a:ext>
            </a:extLst>
          </xdr:cNvPr>
          <xdr:cNvSpPr/>
        </xdr:nvSpPr>
        <xdr:spPr>
          <a:xfrm>
            <a:off x="1381126" y="1666875"/>
            <a:ext cx="2390774" cy="971550"/>
          </a:xfrm>
          <a:prstGeom prst="rect">
            <a:avLst/>
          </a:prstGeom>
          <a:solidFill>
            <a:schemeClr val="accent3">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000" b="1">
                <a:solidFill>
                  <a:schemeClr val="bg1"/>
                </a:solidFill>
              </a:rPr>
              <a:t>ACCOMMODATION</a:t>
            </a:r>
            <a:r>
              <a:rPr lang="en-GB" sz="1000" b="1" baseline="0">
                <a:solidFill>
                  <a:schemeClr val="bg1"/>
                </a:solidFill>
              </a:rPr>
              <a:t> SUPPLY</a:t>
            </a:r>
            <a:endParaRPr lang="en-GB" sz="1000" b="1">
              <a:solidFill>
                <a:schemeClr val="bg1"/>
              </a:solidFill>
            </a:endParaRPr>
          </a:p>
        </xdr:txBody>
      </xdr:sp>
      <xdr:pic>
        <xdr:nvPicPr>
          <xdr:cNvPr id="74" name="Picture 73">
            <a:extLst>
              <a:ext uri="{FF2B5EF4-FFF2-40B4-BE49-F238E27FC236}">
                <a16:creationId xmlns:a16="http://schemas.microsoft.com/office/drawing/2014/main" id="{00000000-0008-0000-1100-00004A000000}"/>
              </a:ext>
            </a:extLst>
          </xdr:cNvPr>
          <xdr:cNvPicPr>
            <a:picLocks noChangeAspect="1" noChangeArrowheads="1"/>
          </xdr:cNvPicPr>
        </xdr:nvPicPr>
        <xdr:blipFill>
          <a:blip xmlns:r="http://schemas.openxmlformats.org/officeDocument/2006/relationships" r:embed="rId7"/>
          <a:srcRect/>
          <a:stretch>
            <a:fillRect/>
          </a:stretch>
        </xdr:blipFill>
        <xdr:spPr bwMode="auto">
          <a:xfrm>
            <a:off x="1438275" y="1905002"/>
            <a:ext cx="1095375" cy="675080"/>
          </a:xfrm>
          <a:prstGeom prst="rect">
            <a:avLst/>
          </a:prstGeom>
          <a:solidFill>
            <a:srgbClr xmlns:mc="http://schemas.openxmlformats.org/markup-compatibility/2006" xmlns:a14="http://schemas.microsoft.com/office/drawing/2010/main" val="FFFFFF" mc:Ignorable="a14" a14:legacySpreadsheetColorIndex="9"/>
          </a:solidFill>
          <a:ln w="25400">
            <a:noFill/>
            <a:miter lim="800000"/>
            <a:headEnd/>
            <a:tailEnd/>
          </a:ln>
        </xdr:spPr>
      </xdr:pic>
      <xdr:sp macro="" textlink="">
        <xdr:nvSpPr>
          <xdr:cNvPr id="75" name="Rectangle 74">
            <a:extLst>
              <a:ext uri="{FF2B5EF4-FFF2-40B4-BE49-F238E27FC236}">
                <a16:creationId xmlns:a16="http://schemas.microsoft.com/office/drawing/2014/main" id="{00000000-0008-0000-1100-00004B000000}"/>
              </a:ext>
            </a:extLst>
          </xdr:cNvPr>
          <xdr:cNvSpPr/>
        </xdr:nvSpPr>
        <xdr:spPr>
          <a:xfrm>
            <a:off x="2628900" y="1905000"/>
            <a:ext cx="1095480" cy="6750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800" b="1">
                <a:solidFill>
                  <a:schemeClr val="tx1">
                    <a:lumMod val="50000"/>
                    <a:lumOff val="50000"/>
                  </a:schemeClr>
                </a:solidFill>
              </a:rPr>
              <a:t>44</a:t>
            </a:r>
          </a:p>
        </xdr:txBody>
      </xdr:sp>
    </xdr:grpSp>
    <xdr:clientData/>
  </xdr:twoCellAnchor>
  <xdr:twoCellAnchor>
    <xdr:from>
      <xdr:col>4</xdr:col>
      <xdr:colOff>19051</xdr:colOff>
      <xdr:row>7</xdr:row>
      <xdr:rowOff>76201</xdr:rowOff>
    </xdr:from>
    <xdr:to>
      <xdr:col>7</xdr:col>
      <xdr:colOff>333451</xdr:colOff>
      <xdr:row>12</xdr:row>
      <xdr:rowOff>47626</xdr:rowOff>
    </xdr:to>
    <xdr:grpSp>
      <xdr:nvGrpSpPr>
        <xdr:cNvPr id="88" name="Group 87">
          <a:extLst>
            <a:ext uri="{FF2B5EF4-FFF2-40B4-BE49-F238E27FC236}">
              <a16:creationId xmlns:a16="http://schemas.microsoft.com/office/drawing/2014/main" id="{00000000-0008-0000-1100-000058000000}"/>
            </a:ext>
          </a:extLst>
        </xdr:cNvPr>
        <xdr:cNvGrpSpPr/>
      </xdr:nvGrpSpPr>
      <xdr:grpSpPr>
        <a:xfrm>
          <a:off x="1360171" y="1699261"/>
          <a:ext cx="2508960" cy="1000125"/>
          <a:chOff x="1381126" y="1666875"/>
          <a:chExt cx="2390774" cy="971550"/>
        </a:xfrm>
      </xdr:grpSpPr>
      <xdr:sp macro="" textlink="">
        <xdr:nvSpPr>
          <xdr:cNvPr id="89" name="Rectangle 88">
            <a:extLst>
              <a:ext uri="{FF2B5EF4-FFF2-40B4-BE49-F238E27FC236}">
                <a16:creationId xmlns:a16="http://schemas.microsoft.com/office/drawing/2014/main" id="{00000000-0008-0000-1100-000059000000}"/>
              </a:ext>
            </a:extLst>
          </xdr:cNvPr>
          <xdr:cNvSpPr/>
        </xdr:nvSpPr>
        <xdr:spPr>
          <a:xfrm>
            <a:off x="1381126" y="1666875"/>
            <a:ext cx="2390774" cy="971550"/>
          </a:xfrm>
          <a:prstGeom prst="rect">
            <a:avLst/>
          </a:prstGeom>
          <a:solidFill>
            <a:schemeClr val="bg1">
              <a:lumMod val="6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000" b="1"/>
              <a:t>REPORT SECTIONS</a:t>
            </a:r>
          </a:p>
        </xdr:txBody>
      </xdr:sp>
      <xdr:pic>
        <xdr:nvPicPr>
          <xdr:cNvPr id="90" name="Picture 89">
            <a:extLst>
              <a:ext uri="{FF2B5EF4-FFF2-40B4-BE49-F238E27FC236}">
                <a16:creationId xmlns:a16="http://schemas.microsoft.com/office/drawing/2014/main" id="{00000000-0008-0000-1100-00005A000000}"/>
              </a:ext>
            </a:extLst>
          </xdr:cNvPr>
          <xdr:cNvPicPr>
            <a:picLocks noChangeAspect="1" noChangeArrowheads="1"/>
          </xdr:cNvPicPr>
        </xdr:nvPicPr>
        <xdr:blipFill>
          <a:blip xmlns:r="http://schemas.openxmlformats.org/officeDocument/2006/relationships" r:embed="rId8"/>
          <a:srcRect/>
          <a:stretch>
            <a:fillRect/>
          </a:stretch>
        </xdr:blipFill>
        <xdr:spPr bwMode="auto">
          <a:xfrm>
            <a:off x="1438275" y="1905002"/>
            <a:ext cx="1095375" cy="675080"/>
          </a:xfrm>
          <a:prstGeom prst="rect">
            <a:avLst/>
          </a:prstGeom>
          <a:noFill/>
          <a:ln w="25400">
            <a:noFill/>
            <a:miter lim="800000"/>
            <a:headEnd/>
            <a:tailEnd/>
          </a:ln>
        </xdr:spPr>
      </xdr:pic>
      <xdr:sp macro="" textlink="">
        <xdr:nvSpPr>
          <xdr:cNvPr id="91" name="Rectangle 90">
            <a:extLst>
              <a:ext uri="{FF2B5EF4-FFF2-40B4-BE49-F238E27FC236}">
                <a16:creationId xmlns:a16="http://schemas.microsoft.com/office/drawing/2014/main" id="{00000000-0008-0000-1100-00005B000000}"/>
              </a:ext>
            </a:extLst>
          </xdr:cNvPr>
          <xdr:cNvSpPr/>
        </xdr:nvSpPr>
        <xdr:spPr>
          <a:xfrm>
            <a:off x="2628900" y="1905000"/>
            <a:ext cx="1095480" cy="6750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800" b="1">
                <a:solidFill>
                  <a:schemeClr val="tx1">
                    <a:lumMod val="50000"/>
                    <a:lumOff val="50000"/>
                  </a:schemeClr>
                </a:solidFill>
              </a:rPr>
              <a:t>Page</a:t>
            </a:r>
          </a:p>
        </xdr:txBody>
      </xdr:sp>
    </xdr:grpSp>
    <xdr:clientData/>
  </xdr:twoCellAnchor>
  <xdr:twoCellAnchor>
    <xdr:from>
      <xdr:col>13</xdr:col>
      <xdr:colOff>209550</xdr:colOff>
      <xdr:row>13</xdr:row>
      <xdr:rowOff>19050</xdr:rowOff>
    </xdr:from>
    <xdr:to>
      <xdr:col>18</xdr:col>
      <xdr:colOff>228675</xdr:colOff>
      <xdr:row>17</xdr:row>
      <xdr:rowOff>190500</xdr:rowOff>
    </xdr:to>
    <xdr:grpSp>
      <xdr:nvGrpSpPr>
        <xdr:cNvPr id="92" name="Group 91">
          <a:extLst>
            <a:ext uri="{FF2B5EF4-FFF2-40B4-BE49-F238E27FC236}">
              <a16:creationId xmlns:a16="http://schemas.microsoft.com/office/drawing/2014/main" id="{00000000-0008-0000-1100-00005C000000}"/>
            </a:ext>
          </a:extLst>
        </xdr:cNvPr>
        <xdr:cNvGrpSpPr/>
      </xdr:nvGrpSpPr>
      <xdr:grpSpPr>
        <a:xfrm>
          <a:off x="6762750" y="2876550"/>
          <a:ext cx="2533725" cy="994410"/>
          <a:chOff x="1381126" y="1666875"/>
          <a:chExt cx="2390774" cy="971550"/>
        </a:xfrm>
      </xdr:grpSpPr>
      <xdr:sp macro="" textlink="">
        <xdr:nvSpPr>
          <xdr:cNvPr id="93" name="Rectangle 92">
            <a:extLst>
              <a:ext uri="{FF2B5EF4-FFF2-40B4-BE49-F238E27FC236}">
                <a16:creationId xmlns:a16="http://schemas.microsoft.com/office/drawing/2014/main" id="{00000000-0008-0000-1100-00005D000000}"/>
              </a:ext>
            </a:extLst>
          </xdr:cNvPr>
          <xdr:cNvSpPr/>
        </xdr:nvSpPr>
        <xdr:spPr>
          <a:xfrm>
            <a:off x="1381126" y="1666875"/>
            <a:ext cx="2390774" cy="971550"/>
          </a:xfrm>
          <a:prstGeom prst="rect">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000" b="1"/>
              <a:t>DISTRIBUTION OF IMPACT:</a:t>
            </a:r>
            <a:r>
              <a:rPr lang="en-GB" sz="1000" b="1" baseline="0"/>
              <a:t> </a:t>
            </a:r>
            <a:r>
              <a:rPr lang="en-GB" sz="1000" b="1" i="1" baseline="0"/>
              <a:t>by Month</a:t>
            </a:r>
            <a:endParaRPr lang="en-GB" sz="1000" b="1" i="1"/>
          </a:p>
        </xdr:txBody>
      </xdr:sp>
      <xdr:pic>
        <xdr:nvPicPr>
          <xdr:cNvPr id="94" name="Picture 93">
            <a:extLst>
              <a:ext uri="{FF2B5EF4-FFF2-40B4-BE49-F238E27FC236}">
                <a16:creationId xmlns:a16="http://schemas.microsoft.com/office/drawing/2014/main" id="{00000000-0008-0000-1100-00005E000000}"/>
              </a:ext>
            </a:extLst>
          </xdr:cNvPr>
          <xdr:cNvPicPr>
            <a:picLocks noChangeAspect="1" noChangeArrowheads="1"/>
          </xdr:cNvPicPr>
        </xdr:nvPicPr>
        <xdr:blipFill>
          <a:blip xmlns:r="http://schemas.openxmlformats.org/officeDocument/2006/relationships" r:embed="rId9"/>
          <a:srcRect/>
          <a:stretch>
            <a:fillRect/>
          </a:stretch>
        </xdr:blipFill>
        <xdr:spPr bwMode="auto">
          <a:xfrm>
            <a:off x="1438275" y="1905002"/>
            <a:ext cx="1095375" cy="675080"/>
          </a:xfrm>
          <a:prstGeom prst="rect">
            <a:avLst/>
          </a:prstGeom>
          <a:solidFill>
            <a:srgbClr xmlns:mc="http://schemas.openxmlformats.org/markup-compatibility/2006" xmlns:a14="http://schemas.microsoft.com/office/drawing/2010/main" val="FFFFFF" mc:Ignorable="a14" a14:legacySpreadsheetColorIndex="9"/>
          </a:solidFill>
          <a:ln w="25400">
            <a:noFill/>
            <a:miter lim="800000"/>
            <a:headEnd/>
            <a:tailEnd/>
          </a:ln>
        </xdr:spPr>
      </xdr:pic>
      <xdr:sp macro="" textlink="">
        <xdr:nvSpPr>
          <xdr:cNvPr id="95" name="Rectangle 94">
            <a:extLst>
              <a:ext uri="{FF2B5EF4-FFF2-40B4-BE49-F238E27FC236}">
                <a16:creationId xmlns:a16="http://schemas.microsoft.com/office/drawing/2014/main" id="{00000000-0008-0000-1100-00005F000000}"/>
              </a:ext>
            </a:extLst>
          </xdr:cNvPr>
          <xdr:cNvSpPr/>
        </xdr:nvSpPr>
        <xdr:spPr>
          <a:xfrm>
            <a:off x="2628900" y="1905000"/>
            <a:ext cx="1095480" cy="6750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800" b="1">
                <a:solidFill>
                  <a:schemeClr val="tx1">
                    <a:lumMod val="50000"/>
                    <a:lumOff val="50000"/>
                  </a:schemeClr>
                </a:solidFill>
              </a:rPr>
              <a:t>14</a:t>
            </a:r>
          </a:p>
        </xdr:txBody>
      </xdr:sp>
    </xdr:grpSp>
    <xdr:clientData/>
  </xdr:twoCellAnchor>
  <xdr:twoCellAnchor>
    <xdr:from>
      <xdr:col>18</xdr:col>
      <xdr:colOff>438150</xdr:colOff>
      <xdr:row>13</xdr:row>
      <xdr:rowOff>19050</xdr:rowOff>
    </xdr:from>
    <xdr:to>
      <xdr:col>23</xdr:col>
      <xdr:colOff>457275</xdr:colOff>
      <xdr:row>17</xdr:row>
      <xdr:rowOff>190500</xdr:rowOff>
    </xdr:to>
    <xdr:grpSp>
      <xdr:nvGrpSpPr>
        <xdr:cNvPr id="96" name="Group 95">
          <a:extLst>
            <a:ext uri="{FF2B5EF4-FFF2-40B4-BE49-F238E27FC236}">
              <a16:creationId xmlns:a16="http://schemas.microsoft.com/office/drawing/2014/main" id="{00000000-0008-0000-1100-000060000000}"/>
            </a:ext>
          </a:extLst>
        </xdr:cNvPr>
        <xdr:cNvGrpSpPr/>
      </xdr:nvGrpSpPr>
      <xdr:grpSpPr>
        <a:xfrm>
          <a:off x="9505950" y="2876550"/>
          <a:ext cx="2533725" cy="994410"/>
          <a:chOff x="1381126" y="1666875"/>
          <a:chExt cx="2390774" cy="971550"/>
        </a:xfrm>
      </xdr:grpSpPr>
      <xdr:sp macro="" textlink="">
        <xdr:nvSpPr>
          <xdr:cNvPr id="97" name="Rectangle 96">
            <a:extLst>
              <a:ext uri="{FF2B5EF4-FFF2-40B4-BE49-F238E27FC236}">
                <a16:creationId xmlns:a16="http://schemas.microsoft.com/office/drawing/2014/main" id="{00000000-0008-0000-1100-000061000000}"/>
              </a:ext>
            </a:extLst>
          </xdr:cNvPr>
          <xdr:cNvSpPr/>
        </xdr:nvSpPr>
        <xdr:spPr>
          <a:xfrm>
            <a:off x="1381126" y="1666875"/>
            <a:ext cx="2390774" cy="971550"/>
          </a:xfrm>
          <a:prstGeom prst="rect">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000" b="1">
                <a:solidFill>
                  <a:schemeClr val="bg1"/>
                </a:solidFill>
              </a:rPr>
              <a:t>DISTRIBUTION OF IMPACT:</a:t>
            </a:r>
            <a:r>
              <a:rPr lang="en-GB" sz="1000" b="1" baseline="0">
                <a:solidFill>
                  <a:schemeClr val="bg1"/>
                </a:solidFill>
              </a:rPr>
              <a:t> </a:t>
            </a:r>
            <a:r>
              <a:rPr lang="en-GB" sz="1000" b="1" i="1" baseline="0">
                <a:solidFill>
                  <a:schemeClr val="bg1"/>
                </a:solidFill>
              </a:rPr>
              <a:t>by Sector</a:t>
            </a:r>
            <a:endParaRPr lang="en-GB" sz="1000" b="1">
              <a:solidFill>
                <a:schemeClr val="bg1"/>
              </a:solidFill>
            </a:endParaRPr>
          </a:p>
        </xdr:txBody>
      </xdr:sp>
      <xdr:pic>
        <xdr:nvPicPr>
          <xdr:cNvPr id="98" name="Picture 97">
            <a:extLst>
              <a:ext uri="{FF2B5EF4-FFF2-40B4-BE49-F238E27FC236}">
                <a16:creationId xmlns:a16="http://schemas.microsoft.com/office/drawing/2014/main" id="{00000000-0008-0000-1100-000062000000}"/>
              </a:ext>
            </a:extLst>
          </xdr:cNvPr>
          <xdr:cNvPicPr>
            <a:picLocks noChangeAspect="1" noChangeArrowheads="1"/>
          </xdr:cNvPicPr>
        </xdr:nvPicPr>
        <xdr:blipFill>
          <a:blip xmlns:r="http://schemas.openxmlformats.org/officeDocument/2006/relationships" r:embed="rId10"/>
          <a:srcRect/>
          <a:stretch>
            <a:fillRect/>
          </a:stretch>
        </xdr:blipFill>
        <xdr:spPr bwMode="auto">
          <a:xfrm>
            <a:off x="1438275" y="1905002"/>
            <a:ext cx="1095375" cy="675080"/>
          </a:xfrm>
          <a:prstGeom prst="rect">
            <a:avLst/>
          </a:prstGeom>
          <a:solidFill>
            <a:srgbClr xmlns:mc="http://schemas.openxmlformats.org/markup-compatibility/2006" xmlns:a14="http://schemas.microsoft.com/office/drawing/2010/main" val="FFFFFF" mc:Ignorable="a14" a14:legacySpreadsheetColorIndex="9"/>
          </a:solidFill>
          <a:ln w="25400">
            <a:noFill/>
            <a:miter lim="800000"/>
            <a:headEnd/>
            <a:tailEnd/>
          </a:ln>
        </xdr:spPr>
      </xdr:pic>
      <xdr:sp macro="" textlink="">
        <xdr:nvSpPr>
          <xdr:cNvPr id="99" name="Rectangle 98">
            <a:extLst>
              <a:ext uri="{FF2B5EF4-FFF2-40B4-BE49-F238E27FC236}">
                <a16:creationId xmlns:a16="http://schemas.microsoft.com/office/drawing/2014/main" id="{00000000-0008-0000-1100-000063000000}"/>
              </a:ext>
            </a:extLst>
          </xdr:cNvPr>
          <xdr:cNvSpPr/>
        </xdr:nvSpPr>
        <xdr:spPr>
          <a:xfrm>
            <a:off x="2628900" y="1905000"/>
            <a:ext cx="1095480" cy="6750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800" b="1">
                <a:solidFill>
                  <a:schemeClr val="tx1">
                    <a:lumMod val="50000"/>
                    <a:lumOff val="50000"/>
                  </a:schemeClr>
                </a:solidFill>
              </a:rPr>
              <a:t>15</a:t>
            </a:r>
          </a:p>
        </xdr:txBody>
      </xdr:sp>
    </xdr:grpSp>
    <xdr:clientData/>
  </xdr:twoCellAnchor>
  <xdr:twoCellAnchor>
    <xdr:from>
      <xdr:col>8</xdr:col>
      <xdr:colOff>19050</xdr:colOff>
      <xdr:row>13</xdr:row>
      <xdr:rowOff>19051</xdr:rowOff>
    </xdr:from>
    <xdr:to>
      <xdr:col>13</xdr:col>
      <xdr:colOff>38175</xdr:colOff>
      <xdr:row>17</xdr:row>
      <xdr:rowOff>190501</xdr:rowOff>
    </xdr:to>
    <xdr:grpSp>
      <xdr:nvGrpSpPr>
        <xdr:cNvPr id="104" name="Group 103">
          <a:extLst>
            <a:ext uri="{FF2B5EF4-FFF2-40B4-BE49-F238E27FC236}">
              <a16:creationId xmlns:a16="http://schemas.microsoft.com/office/drawing/2014/main" id="{00000000-0008-0000-1100-000068000000}"/>
            </a:ext>
          </a:extLst>
        </xdr:cNvPr>
        <xdr:cNvGrpSpPr/>
      </xdr:nvGrpSpPr>
      <xdr:grpSpPr>
        <a:xfrm>
          <a:off x="4057650" y="2876551"/>
          <a:ext cx="2533725" cy="994410"/>
          <a:chOff x="1381126" y="1666875"/>
          <a:chExt cx="2390774" cy="971550"/>
        </a:xfrm>
      </xdr:grpSpPr>
      <xdr:sp macro="" textlink="">
        <xdr:nvSpPr>
          <xdr:cNvPr id="105" name="Rectangle 104">
            <a:extLst>
              <a:ext uri="{FF2B5EF4-FFF2-40B4-BE49-F238E27FC236}">
                <a16:creationId xmlns:a16="http://schemas.microsoft.com/office/drawing/2014/main" id="{00000000-0008-0000-1100-000069000000}"/>
              </a:ext>
            </a:extLst>
          </xdr:cNvPr>
          <xdr:cNvSpPr/>
        </xdr:nvSpPr>
        <xdr:spPr>
          <a:xfrm>
            <a:off x="1381126" y="1666875"/>
            <a:ext cx="2390774" cy="971550"/>
          </a:xfrm>
          <a:prstGeom prst="rect">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000" b="1"/>
              <a:t>DISTRIBUTION</a:t>
            </a:r>
            <a:r>
              <a:rPr lang="en-GB" sz="1000" b="1" baseline="0"/>
              <a:t> OF IMPACT</a:t>
            </a:r>
            <a:r>
              <a:rPr lang="en-GB" sz="1000" b="1"/>
              <a:t>: </a:t>
            </a:r>
            <a:r>
              <a:rPr lang="en-GB" sz="1000" b="1" i="1"/>
              <a:t>by</a:t>
            </a:r>
            <a:r>
              <a:rPr lang="en-GB" sz="1000" b="1" i="1" baseline="0"/>
              <a:t> Visitor Type</a:t>
            </a:r>
            <a:endParaRPr lang="en-GB" sz="1000" b="1"/>
          </a:p>
        </xdr:txBody>
      </xdr:sp>
      <xdr:pic>
        <xdr:nvPicPr>
          <xdr:cNvPr id="106" name="Picture 105">
            <a:extLst>
              <a:ext uri="{FF2B5EF4-FFF2-40B4-BE49-F238E27FC236}">
                <a16:creationId xmlns:a16="http://schemas.microsoft.com/office/drawing/2014/main" id="{00000000-0008-0000-1100-00006A000000}"/>
              </a:ext>
            </a:extLst>
          </xdr:cNvPr>
          <xdr:cNvPicPr>
            <a:picLocks noChangeAspect="1" noChangeArrowheads="1"/>
          </xdr:cNvPicPr>
        </xdr:nvPicPr>
        <xdr:blipFill>
          <a:blip xmlns:r="http://schemas.openxmlformats.org/officeDocument/2006/relationships" r:embed="rId11"/>
          <a:srcRect/>
          <a:stretch>
            <a:fillRect/>
          </a:stretch>
        </xdr:blipFill>
        <xdr:spPr bwMode="auto">
          <a:xfrm>
            <a:off x="1438275" y="1905002"/>
            <a:ext cx="1095375" cy="675080"/>
          </a:xfrm>
          <a:prstGeom prst="rect">
            <a:avLst/>
          </a:prstGeom>
          <a:noFill/>
          <a:ln w="25400">
            <a:noFill/>
            <a:miter lim="800000"/>
            <a:headEnd/>
            <a:tailEnd/>
          </a:ln>
        </xdr:spPr>
      </xdr:pic>
      <xdr:sp macro="" textlink="">
        <xdr:nvSpPr>
          <xdr:cNvPr id="107" name="Rectangle 106">
            <a:extLst>
              <a:ext uri="{FF2B5EF4-FFF2-40B4-BE49-F238E27FC236}">
                <a16:creationId xmlns:a16="http://schemas.microsoft.com/office/drawing/2014/main" id="{00000000-0008-0000-1100-00006B000000}"/>
              </a:ext>
            </a:extLst>
          </xdr:cNvPr>
          <xdr:cNvSpPr/>
        </xdr:nvSpPr>
        <xdr:spPr>
          <a:xfrm>
            <a:off x="2628900" y="1905000"/>
            <a:ext cx="1095480" cy="6750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800" b="1">
                <a:solidFill>
                  <a:schemeClr val="tx1">
                    <a:lumMod val="50000"/>
                    <a:lumOff val="50000"/>
                  </a:schemeClr>
                </a:solidFill>
              </a:rPr>
              <a:t>13</a:t>
            </a:r>
          </a:p>
        </xdr:txBody>
      </xdr:sp>
    </xdr:grpSp>
    <xdr:clientData/>
  </xdr:twoCellAnchor>
  <xdr:twoCellAnchor>
    <xdr:from>
      <xdr:col>13</xdr:col>
      <xdr:colOff>209550</xdr:colOff>
      <xdr:row>18</xdr:row>
      <xdr:rowOff>142875</xdr:rowOff>
    </xdr:from>
    <xdr:to>
      <xdr:col>18</xdr:col>
      <xdr:colOff>228675</xdr:colOff>
      <xdr:row>23</xdr:row>
      <xdr:rowOff>114300</xdr:rowOff>
    </xdr:to>
    <xdr:grpSp>
      <xdr:nvGrpSpPr>
        <xdr:cNvPr id="108" name="Group 107">
          <a:extLst>
            <a:ext uri="{FF2B5EF4-FFF2-40B4-BE49-F238E27FC236}">
              <a16:creationId xmlns:a16="http://schemas.microsoft.com/office/drawing/2014/main" id="{00000000-0008-0000-1100-00006C000000}"/>
            </a:ext>
          </a:extLst>
        </xdr:cNvPr>
        <xdr:cNvGrpSpPr/>
      </xdr:nvGrpSpPr>
      <xdr:grpSpPr>
        <a:xfrm>
          <a:off x="6762750" y="4029075"/>
          <a:ext cx="2533725" cy="1000125"/>
          <a:chOff x="1381126" y="1666875"/>
          <a:chExt cx="2390774" cy="971550"/>
        </a:xfrm>
      </xdr:grpSpPr>
      <xdr:sp macro="" textlink="">
        <xdr:nvSpPr>
          <xdr:cNvPr id="109" name="Rectangle 108">
            <a:extLst>
              <a:ext uri="{FF2B5EF4-FFF2-40B4-BE49-F238E27FC236}">
                <a16:creationId xmlns:a16="http://schemas.microsoft.com/office/drawing/2014/main" id="{00000000-0008-0000-1100-00006D000000}"/>
              </a:ext>
            </a:extLst>
          </xdr:cNvPr>
          <xdr:cNvSpPr/>
        </xdr:nvSpPr>
        <xdr:spPr>
          <a:xfrm>
            <a:off x="1381126" y="1666875"/>
            <a:ext cx="2390774" cy="971550"/>
          </a:xfrm>
          <a:prstGeom prst="rect">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000" b="1"/>
              <a:t>VISITOR DAYS</a:t>
            </a:r>
          </a:p>
        </xdr:txBody>
      </xdr:sp>
      <xdr:pic>
        <xdr:nvPicPr>
          <xdr:cNvPr id="110" name="Picture 109">
            <a:extLst>
              <a:ext uri="{FF2B5EF4-FFF2-40B4-BE49-F238E27FC236}">
                <a16:creationId xmlns:a16="http://schemas.microsoft.com/office/drawing/2014/main" id="{00000000-0008-0000-1100-00006E000000}"/>
              </a:ext>
            </a:extLst>
          </xdr:cNvPr>
          <xdr:cNvPicPr>
            <a:picLocks noChangeAspect="1" noChangeArrowheads="1"/>
          </xdr:cNvPicPr>
        </xdr:nvPicPr>
        <xdr:blipFill>
          <a:blip xmlns:r="http://schemas.openxmlformats.org/officeDocument/2006/relationships" r:embed="rId12"/>
          <a:srcRect/>
          <a:stretch>
            <a:fillRect/>
          </a:stretch>
        </xdr:blipFill>
        <xdr:spPr bwMode="auto">
          <a:xfrm>
            <a:off x="1438275" y="1905002"/>
            <a:ext cx="1095375" cy="675080"/>
          </a:xfrm>
          <a:prstGeom prst="rect">
            <a:avLst/>
          </a:prstGeom>
          <a:solidFill>
            <a:srgbClr xmlns:mc="http://schemas.openxmlformats.org/markup-compatibility/2006" xmlns:a14="http://schemas.microsoft.com/office/drawing/2010/main" val="FFFFFF" mc:Ignorable="a14" a14:legacySpreadsheetColorIndex="9"/>
          </a:solidFill>
          <a:ln w="25400">
            <a:noFill/>
            <a:miter lim="800000"/>
            <a:headEnd/>
            <a:tailEnd/>
          </a:ln>
        </xdr:spPr>
      </xdr:pic>
      <xdr:sp macro="" textlink="">
        <xdr:nvSpPr>
          <xdr:cNvPr id="111" name="Rectangle 110">
            <a:extLst>
              <a:ext uri="{FF2B5EF4-FFF2-40B4-BE49-F238E27FC236}">
                <a16:creationId xmlns:a16="http://schemas.microsoft.com/office/drawing/2014/main" id="{00000000-0008-0000-1100-00006F000000}"/>
              </a:ext>
            </a:extLst>
          </xdr:cNvPr>
          <xdr:cNvSpPr/>
        </xdr:nvSpPr>
        <xdr:spPr>
          <a:xfrm>
            <a:off x="2628900" y="1905000"/>
            <a:ext cx="1095480" cy="6750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800" b="1">
                <a:solidFill>
                  <a:schemeClr val="tx1">
                    <a:lumMod val="50000"/>
                    <a:lumOff val="50000"/>
                  </a:schemeClr>
                </a:solidFill>
              </a:rPr>
              <a:t>30-36</a:t>
            </a:r>
          </a:p>
        </xdr:txBody>
      </xdr:sp>
    </xdr:grpSp>
    <xdr:clientData/>
  </xdr:twoCellAnchor>
  <xdr:twoCellAnchor>
    <xdr:from>
      <xdr:col>8</xdr:col>
      <xdr:colOff>28575</xdr:colOff>
      <xdr:row>18</xdr:row>
      <xdr:rowOff>152400</xdr:rowOff>
    </xdr:from>
    <xdr:to>
      <xdr:col>13</xdr:col>
      <xdr:colOff>47700</xdr:colOff>
      <xdr:row>23</xdr:row>
      <xdr:rowOff>123825</xdr:rowOff>
    </xdr:to>
    <xdr:grpSp>
      <xdr:nvGrpSpPr>
        <xdr:cNvPr id="112" name="Group 111">
          <a:extLst>
            <a:ext uri="{FF2B5EF4-FFF2-40B4-BE49-F238E27FC236}">
              <a16:creationId xmlns:a16="http://schemas.microsoft.com/office/drawing/2014/main" id="{00000000-0008-0000-1100-000070000000}"/>
            </a:ext>
          </a:extLst>
        </xdr:cNvPr>
        <xdr:cNvGrpSpPr/>
      </xdr:nvGrpSpPr>
      <xdr:grpSpPr>
        <a:xfrm>
          <a:off x="4067175" y="4038600"/>
          <a:ext cx="2533725" cy="1000125"/>
          <a:chOff x="1381126" y="1666875"/>
          <a:chExt cx="2390774" cy="971550"/>
        </a:xfrm>
      </xdr:grpSpPr>
      <xdr:sp macro="" textlink="">
        <xdr:nvSpPr>
          <xdr:cNvPr id="113" name="Rectangle 112">
            <a:extLst>
              <a:ext uri="{FF2B5EF4-FFF2-40B4-BE49-F238E27FC236}">
                <a16:creationId xmlns:a16="http://schemas.microsoft.com/office/drawing/2014/main" id="{00000000-0008-0000-1100-000071000000}"/>
              </a:ext>
            </a:extLst>
          </xdr:cNvPr>
          <xdr:cNvSpPr/>
        </xdr:nvSpPr>
        <xdr:spPr>
          <a:xfrm>
            <a:off x="1381126" y="1666875"/>
            <a:ext cx="2390774" cy="971550"/>
          </a:xfrm>
          <a:prstGeom prst="rect">
            <a:avLst/>
          </a:prstGeom>
          <a:solidFill>
            <a:srgbClr val="00B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000" b="1">
                <a:solidFill>
                  <a:schemeClr val="bg1"/>
                </a:solidFill>
              </a:rPr>
              <a:t>VISITOR NUMBERS</a:t>
            </a:r>
          </a:p>
        </xdr:txBody>
      </xdr:sp>
      <xdr:pic>
        <xdr:nvPicPr>
          <xdr:cNvPr id="114" name="Picture 113">
            <a:extLst>
              <a:ext uri="{FF2B5EF4-FFF2-40B4-BE49-F238E27FC236}">
                <a16:creationId xmlns:a16="http://schemas.microsoft.com/office/drawing/2014/main" id="{00000000-0008-0000-1100-000072000000}"/>
              </a:ext>
            </a:extLst>
          </xdr:cNvPr>
          <xdr:cNvPicPr>
            <a:picLocks noChangeAspect="1" noChangeArrowheads="1"/>
          </xdr:cNvPicPr>
        </xdr:nvPicPr>
        <xdr:blipFill>
          <a:blip xmlns:r="http://schemas.openxmlformats.org/officeDocument/2006/relationships" r:embed="rId13"/>
          <a:srcRect/>
          <a:stretch>
            <a:fillRect/>
          </a:stretch>
        </xdr:blipFill>
        <xdr:spPr bwMode="auto">
          <a:xfrm>
            <a:off x="1438275" y="1905002"/>
            <a:ext cx="1095375" cy="675080"/>
          </a:xfrm>
          <a:prstGeom prst="rect">
            <a:avLst/>
          </a:prstGeom>
          <a:solidFill>
            <a:srgbClr xmlns:mc="http://schemas.openxmlformats.org/markup-compatibility/2006" xmlns:a14="http://schemas.microsoft.com/office/drawing/2010/main" val="FFFFFF" mc:Ignorable="a14" a14:legacySpreadsheetColorIndex="9"/>
          </a:solidFill>
          <a:ln w="25400">
            <a:noFill/>
            <a:miter lim="800000"/>
            <a:headEnd/>
            <a:tailEnd/>
          </a:ln>
        </xdr:spPr>
      </xdr:pic>
      <xdr:sp macro="" textlink="">
        <xdr:nvSpPr>
          <xdr:cNvPr id="115" name="Rectangle 114">
            <a:extLst>
              <a:ext uri="{FF2B5EF4-FFF2-40B4-BE49-F238E27FC236}">
                <a16:creationId xmlns:a16="http://schemas.microsoft.com/office/drawing/2014/main" id="{00000000-0008-0000-1100-000073000000}"/>
              </a:ext>
            </a:extLst>
          </xdr:cNvPr>
          <xdr:cNvSpPr/>
        </xdr:nvSpPr>
        <xdr:spPr>
          <a:xfrm>
            <a:off x="2628900" y="1905000"/>
            <a:ext cx="1095480" cy="6750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800" b="1">
                <a:solidFill>
                  <a:schemeClr val="tx1">
                    <a:lumMod val="50000"/>
                    <a:lumOff val="50000"/>
                  </a:schemeClr>
                </a:solidFill>
              </a:rPr>
              <a:t>23-29</a:t>
            </a:r>
          </a:p>
        </xdr:txBody>
      </xdr:sp>
    </xdr:grpSp>
    <xdr:clientData/>
  </xdr:twoCellAnchor>
  <xdr:twoCellAnchor>
    <xdr:from>
      <xdr:col>18</xdr:col>
      <xdr:colOff>438150</xdr:colOff>
      <xdr:row>18</xdr:row>
      <xdr:rowOff>161925</xdr:rowOff>
    </xdr:from>
    <xdr:to>
      <xdr:col>23</xdr:col>
      <xdr:colOff>457275</xdr:colOff>
      <xdr:row>23</xdr:row>
      <xdr:rowOff>133350</xdr:rowOff>
    </xdr:to>
    <xdr:grpSp>
      <xdr:nvGrpSpPr>
        <xdr:cNvPr id="116" name="Group 115">
          <a:extLst>
            <a:ext uri="{FF2B5EF4-FFF2-40B4-BE49-F238E27FC236}">
              <a16:creationId xmlns:a16="http://schemas.microsoft.com/office/drawing/2014/main" id="{00000000-0008-0000-1100-000074000000}"/>
            </a:ext>
          </a:extLst>
        </xdr:cNvPr>
        <xdr:cNvGrpSpPr/>
      </xdr:nvGrpSpPr>
      <xdr:grpSpPr>
        <a:xfrm>
          <a:off x="9505950" y="4048125"/>
          <a:ext cx="2533725" cy="1000125"/>
          <a:chOff x="1381126" y="1666875"/>
          <a:chExt cx="2390774" cy="971550"/>
        </a:xfrm>
      </xdr:grpSpPr>
      <xdr:sp macro="" textlink="">
        <xdr:nvSpPr>
          <xdr:cNvPr id="117" name="Rectangle 116">
            <a:extLst>
              <a:ext uri="{FF2B5EF4-FFF2-40B4-BE49-F238E27FC236}">
                <a16:creationId xmlns:a16="http://schemas.microsoft.com/office/drawing/2014/main" id="{00000000-0008-0000-1100-000075000000}"/>
              </a:ext>
            </a:extLst>
          </xdr:cNvPr>
          <xdr:cNvSpPr/>
        </xdr:nvSpPr>
        <xdr:spPr>
          <a:xfrm>
            <a:off x="1381126" y="1666875"/>
            <a:ext cx="2390774" cy="971550"/>
          </a:xfrm>
          <a:prstGeom prst="rect">
            <a:avLst/>
          </a:prstGeom>
          <a:solidFill>
            <a:schemeClr val="accent6">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000" b="1">
                <a:solidFill>
                  <a:schemeClr val="tx1"/>
                </a:solidFill>
              </a:rPr>
              <a:t>DIRECT AND TOTAL</a:t>
            </a:r>
            <a:r>
              <a:rPr lang="en-GB" sz="1000" b="1" baseline="0">
                <a:solidFill>
                  <a:schemeClr val="tx1"/>
                </a:solidFill>
              </a:rPr>
              <a:t> </a:t>
            </a:r>
            <a:r>
              <a:rPr lang="en-GB" sz="1000" b="1">
                <a:solidFill>
                  <a:schemeClr val="tx1"/>
                </a:solidFill>
              </a:rPr>
              <a:t>EMPLOYMENT</a:t>
            </a:r>
          </a:p>
        </xdr:txBody>
      </xdr:sp>
      <xdr:pic>
        <xdr:nvPicPr>
          <xdr:cNvPr id="118" name="Picture 117">
            <a:extLst>
              <a:ext uri="{FF2B5EF4-FFF2-40B4-BE49-F238E27FC236}">
                <a16:creationId xmlns:a16="http://schemas.microsoft.com/office/drawing/2014/main" id="{00000000-0008-0000-1100-000076000000}"/>
              </a:ext>
            </a:extLst>
          </xdr:cNvPr>
          <xdr:cNvPicPr>
            <a:picLocks noChangeAspect="1" noChangeArrowheads="1"/>
          </xdr:cNvPicPr>
        </xdr:nvPicPr>
        <xdr:blipFill>
          <a:blip xmlns:r="http://schemas.openxmlformats.org/officeDocument/2006/relationships" r:embed="rId14"/>
          <a:srcRect/>
          <a:stretch>
            <a:fillRect/>
          </a:stretch>
        </xdr:blipFill>
        <xdr:spPr bwMode="auto">
          <a:xfrm>
            <a:off x="1438275" y="1905002"/>
            <a:ext cx="1095375" cy="675080"/>
          </a:xfrm>
          <a:prstGeom prst="rect">
            <a:avLst/>
          </a:prstGeom>
          <a:solidFill>
            <a:srgbClr xmlns:mc="http://schemas.openxmlformats.org/markup-compatibility/2006" xmlns:a14="http://schemas.microsoft.com/office/drawing/2010/main" val="FFFFFF" mc:Ignorable="a14" a14:legacySpreadsheetColorIndex="9"/>
          </a:solidFill>
          <a:ln w="25400">
            <a:noFill/>
            <a:miter lim="800000"/>
            <a:headEnd/>
            <a:tailEnd/>
          </a:ln>
        </xdr:spPr>
      </xdr:pic>
      <xdr:sp macro="" textlink="">
        <xdr:nvSpPr>
          <xdr:cNvPr id="119" name="Rectangle 118">
            <a:extLst>
              <a:ext uri="{FF2B5EF4-FFF2-40B4-BE49-F238E27FC236}">
                <a16:creationId xmlns:a16="http://schemas.microsoft.com/office/drawing/2014/main" id="{00000000-0008-0000-1100-000077000000}"/>
              </a:ext>
            </a:extLst>
          </xdr:cNvPr>
          <xdr:cNvSpPr/>
        </xdr:nvSpPr>
        <xdr:spPr>
          <a:xfrm>
            <a:off x="2628900" y="1905000"/>
            <a:ext cx="1095480" cy="6750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800" b="1">
                <a:solidFill>
                  <a:schemeClr val="tx1">
                    <a:lumMod val="50000"/>
                    <a:lumOff val="50000"/>
                  </a:schemeClr>
                </a:solidFill>
              </a:rPr>
              <a:t>37-43</a:t>
            </a:r>
          </a:p>
        </xdr:txBody>
      </xdr:sp>
    </xdr:grpSp>
    <xdr:clientData/>
  </xdr:twoCellAnchor>
  <xdr:twoCellAnchor>
    <xdr:from>
      <xdr:col>4</xdr:col>
      <xdr:colOff>19050</xdr:colOff>
      <xdr:row>18</xdr:row>
      <xdr:rowOff>161926</xdr:rowOff>
    </xdr:from>
    <xdr:to>
      <xdr:col>7</xdr:col>
      <xdr:colOff>333450</xdr:colOff>
      <xdr:row>23</xdr:row>
      <xdr:rowOff>133351</xdr:rowOff>
    </xdr:to>
    <xdr:grpSp>
      <xdr:nvGrpSpPr>
        <xdr:cNvPr id="120" name="Group 119">
          <a:extLst>
            <a:ext uri="{FF2B5EF4-FFF2-40B4-BE49-F238E27FC236}">
              <a16:creationId xmlns:a16="http://schemas.microsoft.com/office/drawing/2014/main" id="{00000000-0008-0000-1100-000078000000}"/>
            </a:ext>
          </a:extLst>
        </xdr:cNvPr>
        <xdr:cNvGrpSpPr/>
      </xdr:nvGrpSpPr>
      <xdr:grpSpPr>
        <a:xfrm>
          <a:off x="1360170" y="4048126"/>
          <a:ext cx="2508960" cy="1000125"/>
          <a:chOff x="1381126" y="1666875"/>
          <a:chExt cx="2390774" cy="971550"/>
        </a:xfrm>
      </xdr:grpSpPr>
      <xdr:sp macro="" textlink="">
        <xdr:nvSpPr>
          <xdr:cNvPr id="121" name="Rectangle 120">
            <a:extLst>
              <a:ext uri="{FF2B5EF4-FFF2-40B4-BE49-F238E27FC236}">
                <a16:creationId xmlns:a16="http://schemas.microsoft.com/office/drawing/2014/main" id="{00000000-0008-0000-1100-000079000000}"/>
              </a:ext>
            </a:extLst>
          </xdr:cNvPr>
          <xdr:cNvSpPr/>
        </xdr:nvSpPr>
        <xdr:spPr>
          <a:xfrm>
            <a:off x="1381126" y="1666875"/>
            <a:ext cx="2390774" cy="971550"/>
          </a:xfrm>
          <a:prstGeom prst="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000" b="1"/>
              <a:t>UNINDEXED</a:t>
            </a:r>
            <a:r>
              <a:rPr lang="en-GB" sz="1000" b="1" baseline="0"/>
              <a:t> ECONOMIC IMPACT</a:t>
            </a:r>
            <a:endParaRPr lang="en-GB" sz="1000" b="1"/>
          </a:p>
        </xdr:txBody>
      </xdr:sp>
      <xdr:pic>
        <xdr:nvPicPr>
          <xdr:cNvPr id="122" name="Picture 121">
            <a:extLst>
              <a:ext uri="{FF2B5EF4-FFF2-40B4-BE49-F238E27FC236}">
                <a16:creationId xmlns:a16="http://schemas.microsoft.com/office/drawing/2014/main" id="{00000000-0008-0000-1100-00007A000000}"/>
              </a:ext>
            </a:extLst>
          </xdr:cNvPr>
          <xdr:cNvPicPr>
            <a:picLocks noChangeAspect="1" noChangeArrowheads="1"/>
          </xdr:cNvPicPr>
        </xdr:nvPicPr>
        <xdr:blipFill>
          <a:blip xmlns:r="http://schemas.openxmlformats.org/officeDocument/2006/relationships" r:embed="rId15"/>
          <a:srcRect/>
          <a:stretch>
            <a:fillRect/>
          </a:stretch>
        </xdr:blipFill>
        <xdr:spPr bwMode="auto">
          <a:xfrm>
            <a:off x="1438275" y="1905002"/>
            <a:ext cx="1095375" cy="675080"/>
          </a:xfrm>
          <a:prstGeom prst="rect">
            <a:avLst/>
          </a:prstGeom>
          <a:noFill/>
          <a:ln w="25400">
            <a:noFill/>
            <a:miter lim="800000"/>
            <a:headEnd/>
            <a:tailEnd/>
          </a:ln>
        </xdr:spPr>
      </xdr:pic>
      <xdr:sp macro="" textlink="">
        <xdr:nvSpPr>
          <xdr:cNvPr id="123" name="Rectangle 122">
            <a:extLst>
              <a:ext uri="{FF2B5EF4-FFF2-40B4-BE49-F238E27FC236}">
                <a16:creationId xmlns:a16="http://schemas.microsoft.com/office/drawing/2014/main" id="{00000000-0008-0000-1100-00007B000000}"/>
              </a:ext>
            </a:extLst>
          </xdr:cNvPr>
          <xdr:cNvSpPr/>
        </xdr:nvSpPr>
        <xdr:spPr>
          <a:xfrm>
            <a:off x="2628900" y="1905000"/>
            <a:ext cx="1095480" cy="6750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800" b="1">
                <a:solidFill>
                  <a:schemeClr val="tx1">
                    <a:lumMod val="50000"/>
                    <a:lumOff val="50000"/>
                  </a:schemeClr>
                </a:solidFill>
              </a:rPr>
              <a:t>16-22</a:t>
            </a:r>
          </a:p>
        </xdr:txBody>
      </xdr:sp>
    </xdr:grpSp>
    <xdr:clientData/>
  </xdr:twoCellAnchor>
  <xdr:twoCellAnchor>
    <xdr:from>
      <xdr:col>18</xdr:col>
      <xdr:colOff>409575</xdr:colOff>
      <xdr:row>24</xdr:row>
      <xdr:rowOff>133350</xdr:rowOff>
    </xdr:from>
    <xdr:to>
      <xdr:col>23</xdr:col>
      <xdr:colOff>428700</xdr:colOff>
      <xdr:row>29</xdr:row>
      <xdr:rowOff>104775</xdr:rowOff>
    </xdr:to>
    <xdr:grpSp>
      <xdr:nvGrpSpPr>
        <xdr:cNvPr id="128" name="Group 127">
          <a:extLst>
            <a:ext uri="{FF2B5EF4-FFF2-40B4-BE49-F238E27FC236}">
              <a16:creationId xmlns:a16="http://schemas.microsoft.com/office/drawing/2014/main" id="{00000000-0008-0000-1100-000080000000}"/>
            </a:ext>
          </a:extLst>
        </xdr:cNvPr>
        <xdr:cNvGrpSpPr/>
      </xdr:nvGrpSpPr>
      <xdr:grpSpPr>
        <a:xfrm>
          <a:off x="9477375" y="5253990"/>
          <a:ext cx="2533725" cy="1000125"/>
          <a:chOff x="1381126" y="1666875"/>
          <a:chExt cx="2390774" cy="971550"/>
        </a:xfrm>
      </xdr:grpSpPr>
      <xdr:sp macro="" textlink="">
        <xdr:nvSpPr>
          <xdr:cNvPr id="129" name="Rectangle 128">
            <a:extLst>
              <a:ext uri="{FF2B5EF4-FFF2-40B4-BE49-F238E27FC236}">
                <a16:creationId xmlns:a16="http://schemas.microsoft.com/office/drawing/2014/main" id="{00000000-0008-0000-1100-000081000000}"/>
              </a:ext>
            </a:extLst>
          </xdr:cNvPr>
          <xdr:cNvSpPr/>
        </xdr:nvSpPr>
        <xdr:spPr>
          <a:xfrm>
            <a:off x="1381126" y="1666875"/>
            <a:ext cx="2390774" cy="971550"/>
          </a:xfrm>
          <a:prstGeom prst="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000" b="1" i="0">
                <a:solidFill>
                  <a:schemeClr val="bg1"/>
                </a:solidFill>
              </a:rPr>
              <a:t>INDEXED</a:t>
            </a:r>
            <a:r>
              <a:rPr lang="en-GB" sz="1000" b="1" i="0" baseline="0">
                <a:solidFill>
                  <a:schemeClr val="bg1"/>
                </a:solidFill>
              </a:rPr>
              <a:t> </a:t>
            </a:r>
            <a:r>
              <a:rPr lang="en-GB" sz="1000" b="1" i="0">
                <a:solidFill>
                  <a:schemeClr val="bg1"/>
                </a:solidFill>
              </a:rPr>
              <a:t>FINANCIAL</a:t>
            </a:r>
            <a:r>
              <a:rPr lang="en-GB" sz="1000" b="1" i="0" baseline="0">
                <a:solidFill>
                  <a:schemeClr val="bg1"/>
                </a:solidFill>
              </a:rPr>
              <a:t> DATA</a:t>
            </a:r>
            <a:endParaRPr lang="en-GB" sz="1000" b="1" i="0">
              <a:solidFill>
                <a:schemeClr val="bg1"/>
              </a:solidFill>
            </a:endParaRPr>
          </a:p>
        </xdr:txBody>
      </xdr:sp>
      <xdr:pic>
        <xdr:nvPicPr>
          <xdr:cNvPr id="130" name="Picture 129">
            <a:extLst>
              <a:ext uri="{FF2B5EF4-FFF2-40B4-BE49-F238E27FC236}">
                <a16:creationId xmlns:a16="http://schemas.microsoft.com/office/drawing/2014/main" id="{00000000-0008-0000-1100-000082000000}"/>
              </a:ext>
            </a:extLst>
          </xdr:cNvPr>
          <xdr:cNvPicPr>
            <a:picLocks noChangeAspect="1" noChangeArrowheads="1"/>
          </xdr:cNvPicPr>
        </xdr:nvPicPr>
        <xdr:blipFill rotWithShape="1">
          <a:blip xmlns:r="http://schemas.openxmlformats.org/officeDocument/2006/relationships" r:embed="rId5"/>
          <a:srcRect r="50866"/>
          <a:stretch>
            <a:fillRect/>
          </a:stretch>
        </xdr:blipFill>
        <xdr:spPr bwMode="auto">
          <a:xfrm>
            <a:off x="1438275" y="1905002"/>
            <a:ext cx="538201" cy="675080"/>
          </a:xfrm>
          <a:prstGeom prst="rect">
            <a:avLst/>
          </a:prstGeom>
          <a:solidFill>
            <a:srgbClr xmlns:mc="http://schemas.openxmlformats.org/markup-compatibility/2006" xmlns:a14="http://schemas.microsoft.com/office/drawing/2010/main" val="FFFFFF" mc:Ignorable="a14" a14:legacySpreadsheetColorIndex="9"/>
          </a:solidFill>
          <a:ln w="25400">
            <a:noFill/>
            <a:miter lim="800000"/>
            <a:headEnd/>
            <a:tailEnd/>
          </a:ln>
        </xdr:spPr>
      </xdr:pic>
      <xdr:sp macro="" textlink="">
        <xdr:nvSpPr>
          <xdr:cNvPr id="131" name="Rectangle 130">
            <a:extLst>
              <a:ext uri="{FF2B5EF4-FFF2-40B4-BE49-F238E27FC236}">
                <a16:creationId xmlns:a16="http://schemas.microsoft.com/office/drawing/2014/main" id="{00000000-0008-0000-1100-000083000000}"/>
              </a:ext>
            </a:extLst>
          </xdr:cNvPr>
          <xdr:cNvSpPr/>
        </xdr:nvSpPr>
        <xdr:spPr>
          <a:xfrm>
            <a:off x="2628900" y="1905000"/>
            <a:ext cx="1095480" cy="6750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800" b="1">
                <a:solidFill>
                  <a:schemeClr val="tx1">
                    <a:lumMod val="50000"/>
                    <a:lumOff val="50000"/>
                  </a:schemeClr>
                </a:solidFill>
              </a:rPr>
              <a:t>45-59</a:t>
            </a:r>
          </a:p>
        </xdr:txBody>
      </xdr:sp>
    </xdr:grpSp>
    <xdr:clientData/>
  </xdr:twoCellAnchor>
  <xdr:twoCellAnchor>
    <xdr:from>
      <xdr:col>4</xdr:col>
      <xdr:colOff>19050</xdr:colOff>
      <xdr:row>13</xdr:row>
      <xdr:rowOff>19050</xdr:rowOff>
    </xdr:from>
    <xdr:to>
      <xdr:col>7</xdr:col>
      <xdr:colOff>333450</xdr:colOff>
      <xdr:row>17</xdr:row>
      <xdr:rowOff>190500</xdr:rowOff>
    </xdr:to>
    <xdr:grpSp>
      <xdr:nvGrpSpPr>
        <xdr:cNvPr id="145" name="Group 144">
          <a:extLst>
            <a:ext uri="{FF2B5EF4-FFF2-40B4-BE49-F238E27FC236}">
              <a16:creationId xmlns:a16="http://schemas.microsoft.com/office/drawing/2014/main" id="{00000000-0008-0000-1100-000091000000}"/>
            </a:ext>
          </a:extLst>
        </xdr:cNvPr>
        <xdr:cNvGrpSpPr/>
      </xdr:nvGrpSpPr>
      <xdr:grpSpPr>
        <a:xfrm>
          <a:off x="1360170" y="2876550"/>
          <a:ext cx="2508960" cy="994410"/>
          <a:chOff x="1314450" y="2819400"/>
          <a:chExt cx="2448000" cy="971550"/>
        </a:xfrm>
        <a:effectLst/>
      </xdr:grpSpPr>
      <xdr:sp macro="" textlink="">
        <xdr:nvSpPr>
          <xdr:cNvPr id="137" name="Down Arrow Callout 136">
            <a:extLst>
              <a:ext uri="{FF2B5EF4-FFF2-40B4-BE49-F238E27FC236}">
                <a16:creationId xmlns:a16="http://schemas.microsoft.com/office/drawing/2014/main" id="{00000000-0008-0000-1100-000089000000}"/>
              </a:ext>
            </a:extLst>
          </xdr:cNvPr>
          <xdr:cNvSpPr/>
        </xdr:nvSpPr>
        <xdr:spPr>
          <a:xfrm>
            <a:off x="1314450" y="2819400"/>
            <a:ext cx="2448000" cy="971550"/>
          </a:xfrm>
          <a:prstGeom prst="downArrowCallout">
            <a:avLst>
              <a:gd name="adj1" fmla="val 251968"/>
              <a:gd name="adj2" fmla="val 125984"/>
              <a:gd name="adj3" fmla="val 25000"/>
              <a:gd name="adj4" fmla="val 75000"/>
            </a:avLst>
          </a:prstGeom>
          <a:solidFill>
            <a:schemeClr val="bg1">
              <a:lumMod val="65000"/>
            </a:schemeClr>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000" b="1"/>
          </a:p>
        </xdr:txBody>
      </xdr:sp>
      <xdr:sp macro="" textlink="">
        <xdr:nvSpPr>
          <xdr:cNvPr id="140" name="Rectangle 139">
            <a:extLst>
              <a:ext uri="{FF2B5EF4-FFF2-40B4-BE49-F238E27FC236}">
                <a16:creationId xmlns:a16="http://schemas.microsoft.com/office/drawing/2014/main" id="{00000000-0008-0000-1100-00008C000000}"/>
              </a:ext>
            </a:extLst>
          </xdr:cNvPr>
          <xdr:cNvSpPr/>
        </xdr:nvSpPr>
        <xdr:spPr>
          <a:xfrm>
            <a:off x="1352550" y="2867025"/>
            <a:ext cx="2362200" cy="7905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36000" bIns="36000" rtlCol="0" anchor="ctr"/>
          <a:lstStyle/>
          <a:p>
            <a:pPr algn="ctr"/>
            <a:r>
              <a:rPr lang="en-GB" sz="1400" b="1">
                <a:solidFill>
                  <a:schemeClr val="bg1"/>
                </a:solidFill>
              </a:rPr>
              <a:t>KEY IMPACT MEASURES:</a:t>
            </a:r>
          </a:p>
          <a:p>
            <a:pPr algn="ctr"/>
            <a:r>
              <a:rPr lang="en-GB" sz="1400" b="1">
                <a:solidFill>
                  <a:schemeClr val="bg1"/>
                </a:solidFill>
              </a:rPr>
              <a:t>MONTHLY</a:t>
            </a:r>
            <a:r>
              <a:rPr lang="en-GB" sz="1400" b="1" baseline="0">
                <a:solidFill>
                  <a:schemeClr val="bg1"/>
                </a:solidFill>
              </a:rPr>
              <a:t> DATA BY</a:t>
            </a:r>
          </a:p>
          <a:p>
            <a:pPr algn="ctr"/>
            <a:r>
              <a:rPr lang="en-GB" sz="1400" b="1" baseline="0">
                <a:solidFill>
                  <a:schemeClr val="bg1"/>
                </a:solidFill>
              </a:rPr>
              <a:t>VISITOR TYPE</a:t>
            </a:r>
            <a:endParaRPr lang="en-GB" sz="1400" b="1">
              <a:solidFill>
                <a:schemeClr val="bg1"/>
              </a:solidFill>
            </a:endParaRPr>
          </a:p>
        </xdr:txBody>
      </xdr:sp>
    </xdr:grpSp>
    <xdr:clientData/>
  </xdr:twoCellAnchor>
  <xdr:twoCellAnchor>
    <xdr:from>
      <xdr:col>13</xdr:col>
      <xdr:colOff>209550</xdr:colOff>
      <xdr:row>24</xdr:row>
      <xdr:rowOff>114300</xdr:rowOff>
    </xdr:from>
    <xdr:to>
      <xdr:col>18</xdr:col>
      <xdr:colOff>228675</xdr:colOff>
      <xdr:row>29</xdr:row>
      <xdr:rowOff>85725</xdr:rowOff>
    </xdr:to>
    <xdr:grpSp>
      <xdr:nvGrpSpPr>
        <xdr:cNvPr id="146" name="Group 145">
          <a:extLst>
            <a:ext uri="{FF2B5EF4-FFF2-40B4-BE49-F238E27FC236}">
              <a16:creationId xmlns:a16="http://schemas.microsoft.com/office/drawing/2014/main" id="{00000000-0008-0000-1100-000092000000}"/>
            </a:ext>
          </a:extLst>
        </xdr:cNvPr>
        <xdr:cNvGrpSpPr/>
      </xdr:nvGrpSpPr>
      <xdr:grpSpPr>
        <a:xfrm>
          <a:off x="6762750" y="5234940"/>
          <a:ext cx="2533725" cy="1000125"/>
          <a:chOff x="3924300" y="5114925"/>
          <a:chExt cx="2448000" cy="971550"/>
        </a:xfrm>
      </xdr:grpSpPr>
      <xdr:sp macro="" textlink="">
        <xdr:nvSpPr>
          <xdr:cNvPr id="143" name="Right Arrow Callout 142">
            <a:extLst>
              <a:ext uri="{FF2B5EF4-FFF2-40B4-BE49-F238E27FC236}">
                <a16:creationId xmlns:a16="http://schemas.microsoft.com/office/drawing/2014/main" id="{00000000-0008-0000-1100-00008F000000}"/>
              </a:ext>
            </a:extLst>
          </xdr:cNvPr>
          <xdr:cNvSpPr/>
        </xdr:nvSpPr>
        <xdr:spPr>
          <a:xfrm>
            <a:off x="3924300" y="5114925"/>
            <a:ext cx="2448000" cy="971550"/>
          </a:xfrm>
          <a:prstGeom prst="rightArrowCallout">
            <a:avLst>
              <a:gd name="adj1" fmla="val 100000"/>
              <a:gd name="adj2" fmla="val 50000"/>
              <a:gd name="adj3" fmla="val 30883"/>
              <a:gd name="adj4" fmla="val 82875"/>
            </a:avLst>
          </a:prstGeom>
          <a:solidFill>
            <a:schemeClr val="bg1">
              <a:lumMod val="6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000" b="1"/>
          </a:p>
        </xdr:txBody>
      </xdr:sp>
      <xdr:sp macro="" textlink="">
        <xdr:nvSpPr>
          <xdr:cNvPr id="144" name="Rectangle 143">
            <a:extLst>
              <a:ext uri="{FF2B5EF4-FFF2-40B4-BE49-F238E27FC236}">
                <a16:creationId xmlns:a16="http://schemas.microsoft.com/office/drawing/2014/main" id="{00000000-0008-0000-1100-000090000000}"/>
              </a:ext>
            </a:extLst>
          </xdr:cNvPr>
          <xdr:cNvSpPr/>
        </xdr:nvSpPr>
        <xdr:spPr>
          <a:xfrm>
            <a:off x="3962399" y="5162550"/>
            <a:ext cx="2371726" cy="8763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36000" bIns="36000" rtlCol="0" anchor="ctr"/>
          <a:lstStyle/>
          <a:p>
            <a:pPr algn="ctr"/>
            <a:r>
              <a:rPr lang="en-GB" sz="1400" b="1">
                <a:solidFill>
                  <a:schemeClr val="bg1"/>
                </a:solidFill>
              </a:rPr>
              <a:t>ANNEX</a:t>
            </a:r>
          </a:p>
        </xdr:txBody>
      </xdr:sp>
    </xdr:grpSp>
    <xdr:clientData/>
  </xdr:twoCellAnchor>
  <xdr:twoCellAnchor>
    <xdr:from>
      <xdr:col>20</xdr:col>
      <xdr:colOff>76200</xdr:colOff>
      <xdr:row>25</xdr:row>
      <xdr:rowOff>171450</xdr:rowOff>
    </xdr:from>
    <xdr:to>
      <xdr:col>21</xdr:col>
      <xdr:colOff>141508</xdr:colOff>
      <xdr:row>29</xdr:row>
      <xdr:rowOff>46430</xdr:rowOff>
    </xdr:to>
    <xdr:pic>
      <xdr:nvPicPr>
        <xdr:cNvPr id="149" name="Picture 148">
          <a:extLst>
            <a:ext uri="{FF2B5EF4-FFF2-40B4-BE49-F238E27FC236}">
              <a16:creationId xmlns:a16="http://schemas.microsoft.com/office/drawing/2014/main" id="{00000000-0008-0000-1100-000095000000}"/>
            </a:ext>
          </a:extLst>
        </xdr:cNvPr>
        <xdr:cNvPicPr>
          <a:picLocks noChangeAspect="1" noChangeArrowheads="1"/>
        </xdr:cNvPicPr>
      </xdr:nvPicPr>
      <xdr:blipFill rotWithShape="1">
        <a:blip xmlns:r="http://schemas.openxmlformats.org/officeDocument/2006/relationships" r:embed="rId16"/>
        <a:srcRect r="50866"/>
        <a:stretch>
          <a:fillRect/>
        </a:stretch>
      </xdr:blipFill>
      <xdr:spPr bwMode="auto">
        <a:xfrm>
          <a:off x="9820275" y="5372100"/>
          <a:ext cx="551083" cy="675080"/>
        </a:xfrm>
        <a:prstGeom prst="rect">
          <a:avLst/>
        </a:prstGeom>
        <a:solidFill>
          <a:srgbClr xmlns:mc="http://schemas.openxmlformats.org/markup-compatibility/2006" xmlns:a14="http://schemas.microsoft.com/office/drawing/2010/main" val="FFFFFF" mc:Ignorable="a14" a14:legacySpreadsheetColorIndex="9"/>
        </a:solidFill>
        <a:ln w="25400">
          <a:noFill/>
          <a:miter lim="800000"/>
          <a:headEnd/>
          <a:tailEnd/>
        </a:ln>
      </xdr:spPr>
    </xdr:pic>
    <xdr:clientData/>
  </xdr:twoCellAnchor>
  <xdr:twoCellAnchor>
    <xdr:from>
      <xdr:col>19</xdr:col>
      <xdr:colOff>476252</xdr:colOff>
      <xdr:row>25</xdr:row>
      <xdr:rowOff>172796</xdr:rowOff>
    </xdr:from>
    <xdr:to>
      <xdr:col>20</xdr:col>
      <xdr:colOff>123830</xdr:colOff>
      <xdr:row>29</xdr:row>
      <xdr:rowOff>46359</xdr:rowOff>
    </xdr:to>
    <xdr:sp macro="" textlink="">
      <xdr:nvSpPr>
        <xdr:cNvPr id="147" name="Wave 146">
          <a:extLst>
            <a:ext uri="{FF2B5EF4-FFF2-40B4-BE49-F238E27FC236}">
              <a16:creationId xmlns:a16="http://schemas.microsoft.com/office/drawing/2014/main" id="{00000000-0008-0000-1100-000093000000}"/>
            </a:ext>
          </a:extLst>
        </xdr:cNvPr>
        <xdr:cNvSpPr/>
      </xdr:nvSpPr>
      <xdr:spPr>
        <a:xfrm rot="16200000">
          <a:off x="9464397" y="5643601"/>
          <a:ext cx="673663" cy="133353"/>
        </a:xfrm>
        <a:prstGeom prst="wave">
          <a:avLst/>
        </a:prstGeom>
        <a:solidFill>
          <a:schemeClr val="bg1"/>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18</xdr:col>
      <xdr:colOff>342900</xdr:colOff>
      <xdr:row>5</xdr:row>
      <xdr:rowOff>9525</xdr:rowOff>
    </xdr:from>
    <xdr:to>
      <xdr:col>18</xdr:col>
      <xdr:colOff>342900</xdr:colOff>
      <xdr:row>7</xdr:row>
      <xdr:rowOff>9525</xdr:rowOff>
    </xdr:to>
    <xdr:cxnSp macro="">
      <xdr:nvCxnSpPr>
        <xdr:cNvPr id="151" name="Straight Connector 150">
          <a:extLst>
            <a:ext uri="{FF2B5EF4-FFF2-40B4-BE49-F238E27FC236}">
              <a16:creationId xmlns:a16="http://schemas.microsoft.com/office/drawing/2014/main" id="{00000000-0008-0000-1100-000097000000}"/>
            </a:ext>
          </a:extLst>
        </xdr:cNvPr>
        <xdr:cNvCxnSpPr/>
      </xdr:nvCxnSpPr>
      <xdr:spPr>
        <a:xfrm>
          <a:off x="9115425" y="1209675"/>
          <a:ext cx="0" cy="400050"/>
        </a:xfrm>
        <a:prstGeom prst="line">
          <a:avLst/>
        </a:prstGeom>
        <a:ln w="25400">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19050</xdr:colOff>
      <xdr:row>24</xdr:row>
      <xdr:rowOff>123825</xdr:rowOff>
    </xdr:from>
    <xdr:to>
      <xdr:col>7</xdr:col>
      <xdr:colOff>333450</xdr:colOff>
      <xdr:row>29</xdr:row>
      <xdr:rowOff>95250</xdr:rowOff>
    </xdr:to>
    <xdr:grpSp>
      <xdr:nvGrpSpPr>
        <xdr:cNvPr id="70" name="Group 69">
          <a:extLst>
            <a:ext uri="{FF2B5EF4-FFF2-40B4-BE49-F238E27FC236}">
              <a16:creationId xmlns:a16="http://schemas.microsoft.com/office/drawing/2014/main" id="{00000000-0008-0000-1100-000046000000}"/>
            </a:ext>
          </a:extLst>
        </xdr:cNvPr>
        <xdr:cNvGrpSpPr/>
      </xdr:nvGrpSpPr>
      <xdr:grpSpPr>
        <a:xfrm>
          <a:off x="1360170" y="5244465"/>
          <a:ext cx="2508960" cy="1000125"/>
          <a:chOff x="1314450" y="2819400"/>
          <a:chExt cx="2448000" cy="971550"/>
        </a:xfrm>
        <a:solidFill>
          <a:schemeClr val="accent1">
            <a:lumMod val="50000"/>
          </a:schemeClr>
        </a:solidFill>
        <a:effectLst/>
      </xdr:grpSpPr>
      <xdr:sp macro="" textlink="">
        <xdr:nvSpPr>
          <xdr:cNvPr id="71" name="Down Arrow Callout 70">
            <a:extLst>
              <a:ext uri="{FF2B5EF4-FFF2-40B4-BE49-F238E27FC236}">
                <a16:creationId xmlns:a16="http://schemas.microsoft.com/office/drawing/2014/main" id="{00000000-0008-0000-1100-000047000000}"/>
              </a:ext>
            </a:extLst>
          </xdr:cNvPr>
          <xdr:cNvSpPr/>
        </xdr:nvSpPr>
        <xdr:spPr>
          <a:xfrm>
            <a:off x="1314450" y="2819400"/>
            <a:ext cx="2448000" cy="971550"/>
          </a:xfrm>
          <a:prstGeom prst="downArrowCallout">
            <a:avLst>
              <a:gd name="adj1" fmla="val 251968"/>
              <a:gd name="adj2" fmla="val 125984"/>
              <a:gd name="adj3" fmla="val 25000"/>
              <a:gd name="adj4" fmla="val 75000"/>
            </a:avLst>
          </a:prstGeom>
          <a:grp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000" b="1"/>
          </a:p>
        </xdr:txBody>
      </xdr:sp>
      <xdr:sp macro="" textlink="">
        <xdr:nvSpPr>
          <xdr:cNvPr id="76" name="Rectangle 75">
            <a:extLst>
              <a:ext uri="{FF2B5EF4-FFF2-40B4-BE49-F238E27FC236}">
                <a16:creationId xmlns:a16="http://schemas.microsoft.com/office/drawing/2014/main" id="{00000000-0008-0000-1100-00004C000000}"/>
              </a:ext>
            </a:extLst>
          </xdr:cNvPr>
          <xdr:cNvSpPr/>
        </xdr:nvSpPr>
        <xdr:spPr>
          <a:xfrm>
            <a:off x="1352550" y="2867025"/>
            <a:ext cx="2362200" cy="7905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36000" bIns="36000" rtlCol="0" anchor="ctr"/>
          <a:lstStyle/>
          <a:p>
            <a:pPr algn="ctr"/>
            <a:r>
              <a:rPr lang="en-GB" sz="1400" b="1">
                <a:solidFill>
                  <a:schemeClr val="bg1"/>
                </a:solidFill>
              </a:rPr>
              <a:t>APPENDICES</a:t>
            </a:r>
          </a:p>
        </xdr:txBody>
      </xdr:sp>
    </xdr:grpSp>
    <xdr:clientData/>
  </xdr:twoCellAnchor>
  <xdr:twoCellAnchor>
    <xdr:from>
      <xdr:col>8</xdr:col>
      <xdr:colOff>0</xdr:colOff>
      <xdr:row>30</xdr:row>
      <xdr:rowOff>114300</xdr:rowOff>
    </xdr:from>
    <xdr:to>
      <xdr:col>13</xdr:col>
      <xdr:colOff>19125</xdr:colOff>
      <xdr:row>35</xdr:row>
      <xdr:rowOff>85725</xdr:rowOff>
    </xdr:to>
    <xdr:grpSp>
      <xdr:nvGrpSpPr>
        <xdr:cNvPr id="125" name="Group 124">
          <a:extLst>
            <a:ext uri="{FF2B5EF4-FFF2-40B4-BE49-F238E27FC236}">
              <a16:creationId xmlns:a16="http://schemas.microsoft.com/office/drawing/2014/main" id="{00000000-0008-0000-1100-00007D000000}"/>
            </a:ext>
          </a:extLst>
        </xdr:cNvPr>
        <xdr:cNvGrpSpPr/>
      </xdr:nvGrpSpPr>
      <xdr:grpSpPr>
        <a:xfrm>
          <a:off x="4038600" y="6469380"/>
          <a:ext cx="2533725" cy="1000125"/>
          <a:chOff x="1381126" y="1666875"/>
          <a:chExt cx="2390774" cy="971550"/>
        </a:xfrm>
      </xdr:grpSpPr>
      <xdr:sp macro="" textlink="">
        <xdr:nvSpPr>
          <xdr:cNvPr id="126" name="Rectangle 125">
            <a:extLst>
              <a:ext uri="{FF2B5EF4-FFF2-40B4-BE49-F238E27FC236}">
                <a16:creationId xmlns:a16="http://schemas.microsoft.com/office/drawing/2014/main" id="{00000000-0008-0000-1100-00007E000000}"/>
              </a:ext>
            </a:extLst>
          </xdr:cNvPr>
          <xdr:cNvSpPr/>
        </xdr:nvSpPr>
        <xdr:spPr>
          <a:xfrm>
            <a:off x="1381126" y="1666875"/>
            <a:ext cx="2390774" cy="97155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000" b="1"/>
              <a:t>TOURIST DAYS</a:t>
            </a:r>
          </a:p>
        </xdr:txBody>
      </xdr:sp>
      <xdr:sp macro="" textlink="">
        <xdr:nvSpPr>
          <xdr:cNvPr id="132" name="Rectangle 131">
            <a:extLst>
              <a:ext uri="{FF2B5EF4-FFF2-40B4-BE49-F238E27FC236}">
                <a16:creationId xmlns:a16="http://schemas.microsoft.com/office/drawing/2014/main" id="{00000000-0008-0000-1100-000084000000}"/>
              </a:ext>
            </a:extLst>
          </xdr:cNvPr>
          <xdr:cNvSpPr/>
        </xdr:nvSpPr>
        <xdr:spPr>
          <a:xfrm>
            <a:off x="2628900" y="1905000"/>
            <a:ext cx="1095480" cy="6750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en-GB" sz="1800" b="1">
              <a:solidFill>
                <a:schemeClr val="tx1">
                  <a:lumMod val="50000"/>
                  <a:lumOff val="50000"/>
                </a:schemeClr>
              </a:solidFill>
            </a:endParaRPr>
          </a:p>
        </xdr:txBody>
      </xdr:sp>
    </xdr:grpSp>
    <xdr:clientData/>
  </xdr:twoCellAnchor>
  <xdr:twoCellAnchor>
    <xdr:from>
      <xdr:col>13</xdr:col>
      <xdr:colOff>200025</xdr:colOff>
      <xdr:row>30</xdr:row>
      <xdr:rowOff>114300</xdr:rowOff>
    </xdr:from>
    <xdr:to>
      <xdr:col>18</xdr:col>
      <xdr:colOff>219150</xdr:colOff>
      <xdr:row>35</xdr:row>
      <xdr:rowOff>85725</xdr:rowOff>
    </xdr:to>
    <xdr:grpSp>
      <xdr:nvGrpSpPr>
        <xdr:cNvPr id="133" name="Group 132">
          <a:extLst>
            <a:ext uri="{FF2B5EF4-FFF2-40B4-BE49-F238E27FC236}">
              <a16:creationId xmlns:a16="http://schemas.microsoft.com/office/drawing/2014/main" id="{00000000-0008-0000-1100-000085000000}"/>
            </a:ext>
          </a:extLst>
        </xdr:cNvPr>
        <xdr:cNvGrpSpPr/>
      </xdr:nvGrpSpPr>
      <xdr:grpSpPr>
        <a:xfrm>
          <a:off x="6753225" y="6469380"/>
          <a:ext cx="2533725" cy="1000125"/>
          <a:chOff x="1381126" y="1666875"/>
          <a:chExt cx="2390774" cy="971550"/>
        </a:xfrm>
      </xdr:grpSpPr>
      <xdr:sp macro="" textlink="">
        <xdr:nvSpPr>
          <xdr:cNvPr id="134" name="Rectangle 133">
            <a:extLst>
              <a:ext uri="{FF2B5EF4-FFF2-40B4-BE49-F238E27FC236}">
                <a16:creationId xmlns:a16="http://schemas.microsoft.com/office/drawing/2014/main" id="{00000000-0008-0000-1100-000086000000}"/>
              </a:ext>
            </a:extLst>
          </xdr:cNvPr>
          <xdr:cNvSpPr/>
        </xdr:nvSpPr>
        <xdr:spPr>
          <a:xfrm>
            <a:off x="1381126" y="1666875"/>
            <a:ext cx="2390774" cy="97155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000" b="1">
                <a:solidFill>
                  <a:schemeClr val="bg1"/>
                </a:solidFill>
              </a:rPr>
              <a:t>TOURIST NUMBERS</a:t>
            </a:r>
          </a:p>
        </xdr:txBody>
      </xdr:sp>
      <xdr:sp macro="" textlink="">
        <xdr:nvSpPr>
          <xdr:cNvPr id="136" name="Rectangle 135">
            <a:extLst>
              <a:ext uri="{FF2B5EF4-FFF2-40B4-BE49-F238E27FC236}">
                <a16:creationId xmlns:a16="http://schemas.microsoft.com/office/drawing/2014/main" id="{00000000-0008-0000-1100-000088000000}"/>
              </a:ext>
            </a:extLst>
          </xdr:cNvPr>
          <xdr:cNvSpPr/>
        </xdr:nvSpPr>
        <xdr:spPr>
          <a:xfrm>
            <a:off x="2628900" y="1905000"/>
            <a:ext cx="1095480" cy="6750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en-GB" sz="1800" b="1">
              <a:solidFill>
                <a:schemeClr val="tx1">
                  <a:lumMod val="50000"/>
                  <a:lumOff val="50000"/>
                </a:schemeClr>
              </a:solidFill>
            </a:endParaRPr>
          </a:p>
        </xdr:txBody>
      </xdr:sp>
    </xdr:grpSp>
    <xdr:clientData/>
  </xdr:twoCellAnchor>
  <xdr:twoCellAnchor>
    <xdr:from>
      <xdr:col>18</xdr:col>
      <xdr:colOff>419100</xdr:colOff>
      <xdr:row>30</xdr:row>
      <xdr:rowOff>114300</xdr:rowOff>
    </xdr:from>
    <xdr:to>
      <xdr:col>23</xdr:col>
      <xdr:colOff>438225</xdr:colOff>
      <xdr:row>35</xdr:row>
      <xdr:rowOff>85725</xdr:rowOff>
    </xdr:to>
    <xdr:grpSp>
      <xdr:nvGrpSpPr>
        <xdr:cNvPr id="138" name="Group 137">
          <a:extLst>
            <a:ext uri="{FF2B5EF4-FFF2-40B4-BE49-F238E27FC236}">
              <a16:creationId xmlns:a16="http://schemas.microsoft.com/office/drawing/2014/main" id="{00000000-0008-0000-1100-00008A000000}"/>
            </a:ext>
          </a:extLst>
        </xdr:cNvPr>
        <xdr:cNvGrpSpPr/>
      </xdr:nvGrpSpPr>
      <xdr:grpSpPr>
        <a:xfrm>
          <a:off x="9486900" y="6469380"/>
          <a:ext cx="2533725" cy="1000125"/>
          <a:chOff x="1381126" y="1666875"/>
          <a:chExt cx="2390774" cy="971550"/>
        </a:xfrm>
      </xdr:grpSpPr>
      <xdr:sp macro="" textlink="">
        <xdr:nvSpPr>
          <xdr:cNvPr id="139" name="Rectangle 138">
            <a:extLst>
              <a:ext uri="{FF2B5EF4-FFF2-40B4-BE49-F238E27FC236}">
                <a16:creationId xmlns:a16="http://schemas.microsoft.com/office/drawing/2014/main" id="{00000000-0008-0000-1100-00008B000000}"/>
              </a:ext>
            </a:extLst>
          </xdr:cNvPr>
          <xdr:cNvSpPr/>
        </xdr:nvSpPr>
        <xdr:spPr>
          <a:xfrm>
            <a:off x="1381126" y="1666875"/>
            <a:ext cx="2390774" cy="97155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000" b="1">
                <a:solidFill>
                  <a:schemeClr val="bg1"/>
                </a:solidFill>
              </a:rPr>
              <a:t>DIRECT AND TOTAL</a:t>
            </a:r>
            <a:r>
              <a:rPr lang="en-GB" sz="1000" b="1" baseline="0">
                <a:solidFill>
                  <a:schemeClr val="bg1"/>
                </a:solidFill>
              </a:rPr>
              <a:t> </a:t>
            </a:r>
            <a:r>
              <a:rPr lang="en-GB" sz="1000" b="1">
                <a:solidFill>
                  <a:schemeClr val="bg1"/>
                </a:solidFill>
              </a:rPr>
              <a:t>EMPLOYMENT</a:t>
            </a:r>
          </a:p>
        </xdr:txBody>
      </xdr:sp>
      <xdr:sp macro="" textlink="">
        <xdr:nvSpPr>
          <xdr:cNvPr id="142" name="Rectangle 141">
            <a:extLst>
              <a:ext uri="{FF2B5EF4-FFF2-40B4-BE49-F238E27FC236}">
                <a16:creationId xmlns:a16="http://schemas.microsoft.com/office/drawing/2014/main" id="{00000000-0008-0000-1100-00008E000000}"/>
              </a:ext>
            </a:extLst>
          </xdr:cNvPr>
          <xdr:cNvSpPr/>
        </xdr:nvSpPr>
        <xdr:spPr>
          <a:xfrm>
            <a:off x="2628900" y="1905000"/>
            <a:ext cx="1095480" cy="6750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en-GB" sz="1800" b="1">
              <a:solidFill>
                <a:schemeClr val="tx1">
                  <a:lumMod val="50000"/>
                  <a:lumOff val="50000"/>
                </a:schemeClr>
              </a:solidFill>
            </a:endParaRPr>
          </a:p>
        </xdr:txBody>
      </xdr:sp>
    </xdr:grpSp>
    <xdr:clientData/>
  </xdr:twoCellAnchor>
  <xdr:twoCellAnchor>
    <xdr:from>
      <xdr:col>4</xdr:col>
      <xdr:colOff>28575</xdr:colOff>
      <xdr:row>30</xdr:row>
      <xdr:rowOff>95251</xdr:rowOff>
    </xdr:from>
    <xdr:to>
      <xdr:col>7</xdr:col>
      <xdr:colOff>342975</xdr:colOff>
      <xdr:row>35</xdr:row>
      <xdr:rowOff>66676</xdr:rowOff>
    </xdr:to>
    <xdr:grpSp>
      <xdr:nvGrpSpPr>
        <xdr:cNvPr id="148" name="Group 147">
          <a:extLst>
            <a:ext uri="{FF2B5EF4-FFF2-40B4-BE49-F238E27FC236}">
              <a16:creationId xmlns:a16="http://schemas.microsoft.com/office/drawing/2014/main" id="{00000000-0008-0000-1100-000094000000}"/>
            </a:ext>
          </a:extLst>
        </xdr:cNvPr>
        <xdr:cNvGrpSpPr/>
      </xdr:nvGrpSpPr>
      <xdr:grpSpPr>
        <a:xfrm>
          <a:off x="1369695" y="6450331"/>
          <a:ext cx="2508960" cy="1000125"/>
          <a:chOff x="1381126" y="1666875"/>
          <a:chExt cx="2390774" cy="971550"/>
        </a:xfrm>
        <a:solidFill>
          <a:schemeClr val="bg1">
            <a:lumMod val="75000"/>
          </a:schemeClr>
        </a:solidFill>
      </xdr:grpSpPr>
      <xdr:sp macro="" textlink="">
        <xdr:nvSpPr>
          <xdr:cNvPr id="150" name="Rectangle 149">
            <a:extLst>
              <a:ext uri="{FF2B5EF4-FFF2-40B4-BE49-F238E27FC236}">
                <a16:creationId xmlns:a16="http://schemas.microsoft.com/office/drawing/2014/main" id="{00000000-0008-0000-1100-000096000000}"/>
              </a:ext>
            </a:extLst>
          </xdr:cNvPr>
          <xdr:cNvSpPr/>
        </xdr:nvSpPr>
        <xdr:spPr>
          <a:xfrm>
            <a:off x="1381126" y="1666875"/>
            <a:ext cx="2390774" cy="971550"/>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000" b="1">
                <a:solidFill>
                  <a:schemeClr val="bg1"/>
                </a:solidFill>
              </a:rPr>
              <a:t>STEAM OVERVIEW</a:t>
            </a:r>
          </a:p>
        </xdr:txBody>
      </xdr:sp>
      <xdr:sp macro="" textlink="">
        <xdr:nvSpPr>
          <xdr:cNvPr id="153" name="Rectangle 152">
            <a:extLst>
              <a:ext uri="{FF2B5EF4-FFF2-40B4-BE49-F238E27FC236}">
                <a16:creationId xmlns:a16="http://schemas.microsoft.com/office/drawing/2014/main" id="{00000000-0008-0000-1100-000099000000}"/>
              </a:ext>
            </a:extLst>
          </xdr:cNvPr>
          <xdr:cNvSpPr/>
        </xdr:nvSpPr>
        <xdr:spPr>
          <a:xfrm>
            <a:off x="2628900" y="1905000"/>
            <a:ext cx="1095480" cy="6750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800" b="1">
                <a:solidFill>
                  <a:schemeClr val="bg1">
                    <a:lumMod val="50000"/>
                  </a:schemeClr>
                </a:solidFill>
              </a:rPr>
              <a:t>A-1</a:t>
            </a:r>
          </a:p>
        </xdr:txBody>
      </xdr:sp>
    </xdr:grpSp>
    <xdr:clientData/>
  </xdr:twoCellAnchor>
  <xdr:twoCellAnchor>
    <xdr:from>
      <xdr:col>4</xdr:col>
      <xdr:colOff>542925</xdr:colOff>
      <xdr:row>32</xdr:row>
      <xdr:rowOff>58382</xdr:rowOff>
    </xdr:from>
    <xdr:to>
      <xdr:col>4</xdr:col>
      <xdr:colOff>809625</xdr:colOff>
      <xdr:row>34</xdr:row>
      <xdr:rowOff>9253</xdr:rowOff>
    </xdr:to>
    <xdr:pic>
      <xdr:nvPicPr>
        <xdr:cNvPr id="155" name="Picture 154">
          <a:extLst>
            <a:ext uri="{FF2B5EF4-FFF2-40B4-BE49-F238E27FC236}">
              <a16:creationId xmlns:a16="http://schemas.microsoft.com/office/drawing/2014/main" id="{00000000-0008-0000-1100-00009B000000}"/>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1838325" y="6659207"/>
          <a:ext cx="266700" cy="350921"/>
        </a:xfrm>
        <a:prstGeom prst="roundRect">
          <a:avLst>
            <a:gd name="adj" fmla="val 8594"/>
          </a:avLst>
        </a:prstGeom>
        <a:solidFill>
          <a:srgbClr val="FFFFFF">
            <a:shade val="85000"/>
          </a:srgbClr>
        </a:solidFill>
        <a:ln>
          <a:noFill/>
        </a:ln>
        <a:effectLst/>
      </xdr:spPr>
    </xdr:pic>
    <xdr:clientData/>
  </xdr:twoCellAnchor>
  <xdr:twoCellAnchor>
    <xdr:from>
      <xdr:col>7</xdr:col>
      <xdr:colOff>409576</xdr:colOff>
      <xdr:row>30</xdr:row>
      <xdr:rowOff>38100</xdr:rowOff>
    </xdr:from>
    <xdr:to>
      <xdr:col>23</xdr:col>
      <xdr:colOff>466726</xdr:colOff>
      <xdr:row>35</xdr:row>
      <xdr:rowOff>190500</xdr:rowOff>
    </xdr:to>
    <xdr:sp macro="" textlink="">
      <xdr:nvSpPr>
        <xdr:cNvPr id="9" name="Rectangle 8">
          <a:extLst>
            <a:ext uri="{FF2B5EF4-FFF2-40B4-BE49-F238E27FC236}">
              <a16:creationId xmlns:a16="http://schemas.microsoft.com/office/drawing/2014/main" id="{00000000-0008-0000-1100-000009000000}"/>
            </a:ext>
          </a:extLst>
        </xdr:cNvPr>
        <xdr:cNvSpPr/>
      </xdr:nvSpPr>
      <xdr:spPr>
        <a:xfrm>
          <a:off x="3838576" y="6238875"/>
          <a:ext cx="7829550" cy="1152525"/>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oneCell">
    <xdr:from>
      <xdr:col>3</xdr:col>
      <xdr:colOff>314325</xdr:colOff>
      <xdr:row>24</xdr:row>
      <xdr:rowOff>19049</xdr:rowOff>
    </xdr:from>
    <xdr:to>
      <xdr:col>7</xdr:col>
      <xdr:colOff>419100</xdr:colOff>
      <xdr:row>36</xdr:row>
      <xdr:rowOff>28574</xdr:rowOff>
    </xdr:to>
    <xdr:pic>
      <xdr:nvPicPr>
        <xdr:cNvPr id="11" name="Picture 10">
          <a:extLst>
            <a:ext uri="{FF2B5EF4-FFF2-40B4-BE49-F238E27FC236}">
              <a16:creationId xmlns:a16="http://schemas.microsoft.com/office/drawing/2014/main" id="{00000000-0008-0000-1100-00000B000000}"/>
            </a:ext>
          </a:extLst>
        </xdr:cNvPr>
        <xdr:cNvPicPr>
          <a:picLocks noChangeAspect="1"/>
        </xdr:cNvPicPr>
      </xdr:nvPicPr>
      <xdr:blipFill>
        <a:blip xmlns:r="http://schemas.openxmlformats.org/officeDocument/2006/relationships" r:embed="rId18"/>
        <a:stretch>
          <a:fillRect/>
        </a:stretch>
      </xdr:blipFill>
      <xdr:spPr>
        <a:xfrm>
          <a:off x="1285875" y="5019674"/>
          <a:ext cx="2562225" cy="24098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4</xdr:col>
      <xdr:colOff>91441</xdr:colOff>
      <xdr:row>1</xdr:row>
      <xdr:rowOff>106680</xdr:rowOff>
    </xdr:from>
    <xdr:to>
      <xdr:col>4</xdr:col>
      <xdr:colOff>358141</xdr:colOff>
      <xdr:row>2</xdr:row>
      <xdr:rowOff>260040</xdr:rowOff>
    </xdr:to>
    <xdr:pic>
      <xdr:nvPicPr>
        <xdr:cNvPr id="2" name="Picture 1" descr="logovvsm.jpg">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stretch>
          <a:fillRect/>
        </a:stretch>
      </xdr:blipFill>
      <xdr:spPr>
        <a:xfrm>
          <a:off x="1386841" y="106680"/>
          <a:ext cx="266700" cy="353385"/>
        </a:xfrm>
        <a:prstGeom prst="roundRect">
          <a:avLst>
            <a:gd name="adj" fmla="val 8594"/>
          </a:avLst>
        </a:prstGeom>
        <a:solidFill>
          <a:srgbClr val="FFFFFF">
            <a:shade val="85000"/>
          </a:srgbClr>
        </a:solidFill>
        <a:ln>
          <a:noFill/>
        </a:ln>
        <a:effectLst>
          <a:outerShdw blurRad="63500" sx="102000" sy="102000" algn="ctr" rotWithShape="0">
            <a:prstClr val="black">
              <a:alpha val="40000"/>
            </a:prstClr>
          </a:outerShdw>
        </a:effectLst>
      </xdr:spPr>
    </xdr:pic>
    <xdr:clientData/>
  </xdr:twoCellAnchor>
  <xdr:twoCellAnchor>
    <xdr:from>
      <xdr:col>4</xdr:col>
      <xdr:colOff>403860</xdr:colOff>
      <xdr:row>1</xdr:row>
      <xdr:rowOff>99060</xdr:rowOff>
    </xdr:from>
    <xdr:to>
      <xdr:col>7</xdr:col>
      <xdr:colOff>251460</xdr:colOff>
      <xdr:row>2</xdr:row>
      <xdr:rowOff>274320</xdr:rowOff>
    </xdr:to>
    <xdr:sp macro="" textlink="REP.gts">
      <xdr:nvSpPr>
        <xdr:cNvPr id="3" name="TextBox 2">
          <a:extLst>
            <a:ext uri="{FF2B5EF4-FFF2-40B4-BE49-F238E27FC236}">
              <a16:creationId xmlns:a16="http://schemas.microsoft.com/office/drawing/2014/main" id="{00000000-0008-0000-0200-000003000000}"/>
            </a:ext>
          </a:extLst>
        </xdr:cNvPr>
        <xdr:cNvSpPr txBox="1"/>
      </xdr:nvSpPr>
      <xdr:spPr>
        <a:xfrm>
          <a:off x="1699260" y="99060"/>
          <a:ext cx="1981200" cy="37528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fld id="{3BA988AB-649B-451C-8315-D0DA89BAC50D}" type="TxLink">
            <a:rPr lang="en-US" sz="900" b="1" i="0" u="none" strike="noStrike">
              <a:solidFill>
                <a:srgbClr val="000000"/>
              </a:solidFill>
              <a:latin typeface="+mn-lt"/>
            </a:rPr>
            <a:pPr algn="l"/>
            <a:t>Global Tourism Solutions (UK) Ltd</a:t>
          </a:fld>
          <a:endParaRPr lang="en-GB" sz="900" b="1">
            <a:latin typeface="+mn-lt"/>
          </a:endParaRPr>
        </a:p>
      </xdr:txBody>
    </xdr:sp>
    <xdr:clientData/>
  </xdr:twoCellAnchor>
  <xdr:twoCellAnchor>
    <xdr:from>
      <xdr:col>4</xdr:col>
      <xdr:colOff>60960</xdr:colOff>
      <xdr:row>3</xdr:row>
      <xdr:rowOff>15240</xdr:rowOff>
    </xdr:from>
    <xdr:to>
      <xdr:col>21</xdr:col>
      <xdr:colOff>45720</xdr:colOff>
      <xdr:row>3</xdr:row>
      <xdr:rowOff>320040</xdr:rowOff>
    </xdr:to>
    <xdr:sp macro="" textlink="">
      <xdr:nvSpPr>
        <xdr:cNvPr id="4" name="Rectangle 3">
          <a:extLst>
            <a:ext uri="{FF2B5EF4-FFF2-40B4-BE49-F238E27FC236}">
              <a16:creationId xmlns:a16="http://schemas.microsoft.com/office/drawing/2014/main" id="{00000000-0008-0000-0200-000004000000}"/>
            </a:ext>
          </a:extLst>
        </xdr:cNvPr>
        <xdr:cNvSpPr/>
      </xdr:nvSpPr>
      <xdr:spPr>
        <a:xfrm>
          <a:off x="1356360" y="548640"/>
          <a:ext cx="8919210" cy="304800"/>
        </a:xfrm>
        <a:prstGeom prst="rect">
          <a:avLst/>
        </a:prstGeom>
        <a:noFill/>
        <a:ln>
          <a:noFill/>
        </a:ln>
        <a:effectLst>
          <a:outerShdw blurRad="63500" sx="102000" sy="102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lIns="36000" tIns="36000" rIns="36000" bIns="36000" rtlCol="0" anchor="ctr"/>
        <a:lstStyle/>
        <a:p>
          <a:pPr algn="l"/>
          <a:endParaRPr lang="en-GB" sz="1000" b="0" i="1" baseline="0">
            <a:solidFill>
              <a:schemeClr val="bg1"/>
            </a:solidFill>
          </a:endParaRPr>
        </a:p>
      </xdr:txBody>
    </xdr:sp>
    <xdr:clientData fPrintsWithSheet="0"/>
  </xdr:twoCellAnchor>
  <xdr:twoCellAnchor editAs="oneCell">
    <xdr:from>
      <xdr:col>22</xdr:col>
      <xdr:colOff>320041</xdr:colOff>
      <xdr:row>3</xdr:row>
      <xdr:rowOff>45721</xdr:rowOff>
    </xdr:from>
    <xdr:to>
      <xdr:col>23</xdr:col>
      <xdr:colOff>398146</xdr:colOff>
      <xdr:row>4</xdr:row>
      <xdr:rowOff>299165</xdr:rowOff>
    </xdr:to>
    <xdr:pic>
      <xdr:nvPicPr>
        <xdr:cNvPr id="5" name="Picture 4">
          <a:hlinkClick xmlns:r="http://schemas.openxmlformats.org/officeDocument/2006/relationships" r:id="rId2" tooltip="Home - Navigation Page"/>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3" cstate="print">
          <a:grayscl/>
          <a:extLst>
            <a:ext uri="{28A0092B-C50C-407E-A947-70E740481C1C}">
              <a14:useLocalDpi xmlns:a14="http://schemas.microsoft.com/office/drawing/2010/main" val="0"/>
            </a:ext>
          </a:extLst>
        </a:blip>
        <a:stretch>
          <a:fillRect/>
        </a:stretch>
      </xdr:blipFill>
      <xdr:spPr>
        <a:xfrm>
          <a:off x="11035666" y="579121"/>
          <a:ext cx="563880" cy="586819"/>
        </a:xfrm>
        <a:prstGeom prst="rect">
          <a:avLst/>
        </a:prstGeom>
      </xdr:spPr>
    </xdr:pic>
    <xdr:clientData/>
  </xdr:twoCellAnchor>
  <xdr:twoCellAnchor>
    <xdr:from>
      <xdr:col>7</xdr:col>
      <xdr:colOff>236220</xdr:colOff>
      <xdr:row>1</xdr:row>
      <xdr:rowOff>91440</xdr:rowOff>
    </xdr:from>
    <xdr:to>
      <xdr:col>22</xdr:col>
      <xdr:colOff>182880</xdr:colOff>
      <xdr:row>2</xdr:row>
      <xdr:rowOff>190500</xdr:rowOff>
    </xdr:to>
    <xdr:sp macro="" textlink="">
      <xdr:nvSpPr>
        <xdr:cNvPr id="6" name="Rectangle 5">
          <a:extLst>
            <a:ext uri="{FF2B5EF4-FFF2-40B4-BE49-F238E27FC236}">
              <a16:creationId xmlns:a16="http://schemas.microsoft.com/office/drawing/2014/main" id="{00000000-0008-0000-0200-000006000000}"/>
            </a:ext>
          </a:extLst>
        </xdr:cNvPr>
        <xdr:cNvSpPr/>
      </xdr:nvSpPr>
      <xdr:spPr>
        <a:xfrm>
          <a:off x="3665220" y="91440"/>
          <a:ext cx="7233285" cy="299085"/>
        </a:xfrm>
        <a:prstGeom prst="rect">
          <a:avLst/>
        </a:prstGeom>
        <a:noFill/>
        <a:ln>
          <a:noFill/>
        </a:ln>
        <a:effectLst>
          <a:outerShdw blurRad="63500" sx="102000" sy="102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lIns="36000" tIns="36000" rIns="36000" bIns="36000" rtlCol="0" anchor="ctr"/>
        <a:lstStyle/>
        <a:p>
          <a:pPr algn="r"/>
          <a:r>
            <a:rPr lang="en-GB" sz="1000" b="1">
              <a:solidFill>
                <a:schemeClr val="tx1">
                  <a:lumMod val="65000"/>
                  <a:lumOff val="35000"/>
                </a:schemeClr>
              </a:solidFill>
            </a:rPr>
            <a:t>Pressing this on-screen "Home" button on</a:t>
          </a:r>
          <a:r>
            <a:rPr lang="en-GB" sz="1000" b="1" baseline="0">
              <a:solidFill>
                <a:schemeClr val="tx1">
                  <a:lumMod val="65000"/>
                  <a:lumOff val="35000"/>
                </a:schemeClr>
              </a:solidFill>
            </a:rPr>
            <a:t> any sheet of the report takes you back to the navigation page</a:t>
          </a:r>
          <a:endParaRPr lang="en-GB" sz="1000" b="0" i="1" baseline="0">
            <a:solidFill>
              <a:schemeClr val="tx1">
                <a:lumMod val="65000"/>
                <a:lumOff val="35000"/>
              </a:schemeClr>
            </a:solidFill>
          </a:endParaRPr>
        </a:p>
      </xdr:txBody>
    </xdr:sp>
    <xdr:clientData fPrintsWithSheet="0"/>
  </xdr:twoCellAnchor>
  <xdr:twoCellAnchor>
    <xdr:from>
      <xdr:col>22</xdr:col>
      <xdr:colOff>232410</xdr:colOff>
      <xdr:row>2</xdr:row>
      <xdr:rowOff>11430</xdr:rowOff>
    </xdr:from>
    <xdr:to>
      <xdr:col>23</xdr:col>
      <xdr:colOff>190500</xdr:colOff>
      <xdr:row>2</xdr:row>
      <xdr:rowOff>281940</xdr:rowOff>
    </xdr:to>
    <xdr:sp macro="" textlink="">
      <xdr:nvSpPr>
        <xdr:cNvPr id="7" name="Bent Arrow 6">
          <a:extLst>
            <a:ext uri="{FF2B5EF4-FFF2-40B4-BE49-F238E27FC236}">
              <a16:creationId xmlns:a16="http://schemas.microsoft.com/office/drawing/2014/main" id="{00000000-0008-0000-0200-000007000000}"/>
            </a:ext>
          </a:extLst>
        </xdr:cNvPr>
        <xdr:cNvSpPr/>
      </xdr:nvSpPr>
      <xdr:spPr>
        <a:xfrm rot="5400000">
          <a:off x="11034713" y="124777"/>
          <a:ext cx="270510" cy="443865"/>
        </a:xfrm>
        <a:prstGeom prst="bentArrow">
          <a:avLst/>
        </a:prstGeom>
        <a:solidFill>
          <a:schemeClr val="bg1">
            <a:lumMod val="85000"/>
          </a:schemeClr>
        </a:solidFill>
        <a:ln w="22225">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chemeClr val="tx1"/>
            </a:solidFill>
          </a:endParaRPr>
        </a:p>
      </xdr:txBody>
    </xdr:sp>
    <xdr:clientData/>
  </xdr:twoCellAnchor>
  <xdr:twoCellAnchor>
    <xdr:from>
      <xdr:col>18</xdr:col>
      <xdr:colOff>40005</xdr:colOff>
      <xdr:row>26</xdr:row>
      <xdr:rowOff>125729</xdr:rowOff>
    </xdr:from>
    <xdr:to>
      <xdr:col>18</xdr:col>
      <xdr:colOff>346709</xdr:colOff>
      <xdr:row>27</xdr:row>
      <xdr:rowOff>81915</xdr:rowOff>
    </xdr:to>
    <xdr:sp macro="" textlink="$F$29">
      <xdr:nvSpPr>
        <xdr:cNvPr id="8" name="TextBox 7">
          <a:extLst>
            <a:ext uri="{FF2B5EF4-FFF2-40B4-BE49-F238E27FC236}">
              <a16:creationId xmlns:a16="http://schemas.microsoft.com/office/drawing/2014/main" id="{00000000-0008-0000-0200-000008000000}"/>
            </a:ext>
          </a:extLst>
        </xdr:cNvPr>
        <xdr:cNvSpPr txBox="1"/>
      </xdr:nvSpPr>
      <xdr:spPr>
        <a:xfrm>
          <a:off x="8812530" y="5526404"/>
          <a:ext cx="306704" cy="15621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fld id="{263D66BB-E62C-4EBF-9923-B946FBE9ABDE}" type="TxLink">
            <a:rPr lang="en-US" sz="900" b="1" i="0" u="none" strike="noStrike">
              <a:solidFill>
                <a:sysClr val="windowText" lastClr="000000"/>
              </a:solidFill>
              <a:latin typeface="Calibri"/>
            </a:rPr>
            <a:pPr algn="ctr"/>
            <a:t> </a:t>
          </a:fld>
          <a:endParaRPr lang="en-US" sz="800" b="1" i="0" u="none" strike="noStrike">
            <a:solidFill>
              <a:sysClr val="windowText" lastClr="000000"/>
            </a:solidFill>
            <a:latin typeface="Calibri"/>
          </a:endParaRP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15</xdr:col>
      <xdr:colOff>681790</xdr:colOff>
      <xdr:row>1</xdr:row>
      <xdr:rowOff>1</xdr:rowOff>
    </xdr:from>
    <xdr:to>
      <xdr:col>20</xdr:col>
      <xdr:colOff>792079</xdr:colOff>
      <xdr:row>4</xdr:row>
      <xdr:rowOff>130342</xdr:rowOff>
    </xdr:to>
    <xdr:sp macro="" textlink="">
      <xdr:nvSpPr>
        <xdr:cNvPr id="2" name="Rectangle 1">
          <a:extLst>
            <a:ext uri="{FF2B5EF4-FFF2-40B4-BE49-F238E27FC236}">
              <a16:creationId xmlns:a16="http://schemas.microsoft.com/office/drawing/2014/main" id="{00000000-0008-0000-1200-000002000000}"/>
            </a:ext>
          </a:extLst>
        </xdr:cNvPr>
        <xdr:cNvSpPr/>
      </xdr:nvSpPr>
      <xdr:spPr>
        <a:xfrm>
          <a:off x="12242132" y="180475"/>
          <a:ext cx="4321342" cy="671762"/>
        </a:xfrm>
        <a:prstGeom prst="rect">
          <a:avLst/>
        </a:prstGeom>
        <a:solidFill>
          <a:srgbClr val="00B050"/>
        </a:solidFill>
        <a:ln>
          <a:solidFill>
            <a:schemeClr val="accent1">
              <a:lumMod val="50000"/>
            </a:schemeClr>
          </a:solidFill>
        </a:ln>
        <a:effectLst>
          <a:outerShdw blurRad="63500" sx="102000" sy="102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lIns="0" tIns="0" rIns="0" bIns="0" rtlCol="0" anchor="ctr"/>
        <a:lstStyle/>
        <a:p>
          <a:pPr algn="ctr"/>
          <a:r>
            <a:rPr lang="en-GB" sz="1800" b="1"/>
            <a:t>ALL £'s HISTORIC PRICES</a:t>
          </a:r>
        </a:p>
        <a:p>
          <a:pPr algn="ctr"/>
          <a:r>
            <a:rPr lang="en-GB" sz="1050" b="0"/>
            <a:t>Inflationary</a:t>
          </a:r>
          <a:r>
            <a:rPr lang="en-GB" sz="1050" b="0" baseline="0"/>
            <a:t> Adjustments Not Available for this Sheet</a:t>
          </a:r>
          <a:endParaRPr lang="en-GB" sz="1050" b="0"/>
        </a:p>
      </xdr:txBody>
    </xdr:sp>
    <xdr:clientData fPrintsWithSheet="0"/>
  </xdr:twoCellAnchor>
  <xdr:twoCellAnchor editAs="oneCell">
    <xdr:from>
      <xdr:col>14</xdr:col>
      <xdr:colOff>576792</xdr:colOff>
      <xdr:row>0</xdr:row>
      <xdr:rowOff>155576</xdr:rowOff>
    </xdr:from>
    <xdr:to>
      <xdr:col>15</xdr:col>
      <xdr:colOff>553531</xdr:colOff>
      <xdr:row>5</xdr:row>
      <xdr:rowOff>2976</xdr:rowOff>
    </xdr:to>
    <xdr:pic>
      <xdr:nvPicPr>
        <xdr:cNvPr id="3" name="Picture 2">
          <a:hlinkClick xmlns:r="http://schemas.openxmlformats.org/officeDocument/2006/relationships" r:id="rId1" tooltip="Home - Navigation Page"/>
          <a:extLst>
            <a:ext uri="{FF2B5EF4-FFF2-40B4-BE49-F238E27FC236}">
              <a16:creationId xmlns:a16="http://schemas.microsoft.com/office/drawing/2014/main" id="{00000000-0008-0000-1200-000003000000}"/>
            </a:ext>
          </a:extLst>
        </xdr:cNvPr>
        <xdr:cNvPicPr>
          <a:picLocks noChangeAspect="1"/>
        </xdr:cNvPicPr>
      </xdr:nvPicPr>
      <xdr:blipFill>
        <a:blip xmlns:r="http://schemas.openxmlformats.org/officeDocument/2006/relationships" r:embed="rId2" cstate="print">
          <a:grayscl/>
          <a:extLst>
            <a:ext uri="{28A0092B-C50C-407E-A947-70E740481C1C}">
              <a14:useLocalDpi xmlns:a14="http://schemas.microsoft.com/office/drawing/2010/main" val="0"/>
            </a:ext>
          </a:extLst>
        </a:blip>
        <a:stretch>
          <a:fillRect/>
        </a:stretch>
      </xdr:blipFill>
      <xdr:spPr>
        <a:xfrm>
          <a:off x="14507105" y="155576"/>
          <a:ext cx="788034" cy="763694"/>
        </a:xfrm>
        <a:prstGeom prst="rect">
          <a:avLst/>
        </a:prstGeom>
      </xdr:spPr>
    </xdr:pic>
    <xdr:clientData/>
  </xdr:twoCellAnchor>
  <xdr:twoCellAnchor>
    <xdr:from>
      <xdr:col>11</xdr:col>
      <xdr:colOff>666751</xdr:colOff>
      <xdr:row>1</xdr:row>
      <xdr:rowOff>0</xdr:rowOff>
    </xdr:from>
    <xdr:to>
      <xdr:col>14</xdr:col>
      <xdr:colOff>526099</xdr:colOff>
      <xdr:row>5</xdr:row>
      <xdr:rowOff>52917</xdr:rowOff>
    </xdr:to>
    <xdr:sp macro="" textlink="">
      <xdr:nvSpPr>
        <xdr:cNvPr id="7" name="Rectangle 6">
          <a:extLst>
            <a:ext uri="{FF2B5EF4-FFF2-40B4-BE49-F238E27FC236}">
              <a16:creationId xmlns:a16="http://schemas.microsoft.com/office/drawing/2014/main" id="{00000000-0008-0000-1200-000007000000}"/>
            </a:ext>
          </a:extLst>
        </xdr:cNvPr>
        <xdr:cNvSpPr/>
      </xdr:nvSpPr>
      <xdr:spPr>
        <a:xfrm>
          <a:off x="9715501" y="179917"/>
          <a:ext cx="3034348" cy="772583"/>
        </a:xfrm>
        <a:prstGeom prst="rect">
          <a:avLst/>
        </a:prstGeom>
        <a:noFill/>
        <a:ln>
          <a:noFill/>
        </a:ln>
        <a:effectLst>
          <a:outerShdw blurRad="63500" sx="102000" sy="102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lIns="36000" tIns="36000" rIns="36000" bIns="36000" rtlCol="0" anchor="ctr"/>
        <a:lstStyle/>
        <a:p>
          <a:pPr algn="r"/>
          <a:r>
            <a:rPr lang="en-GB" sz="1200" b="1">
              <a:solidFill>
                <a:schemeClr val="bg1"/>
              </a:solidFill>
            </a:rPr>
            <a:t>Pressing this on-screen "Home" button on</a:t>
          </a:r>
          <a:r>
            <a:rPr lang="en-GB" sz="1200" b="1" baseline="0">
              <a:solidFill>
                <a:schemeClr val="bg1"/>
              </a:solidFill>
            </a:rPr>
            <a:t> any sheet of the report takes you back to the navigation page</a:t>
          </a:r>
          <a:endParaRPr lang="en-GB" sz="1200" b="0" i="1" baseline="0">
            <a:solidFill>
              <a:schemeClr val="bg1"/>
            </a:solidFill>
          </a:endParaRPr>
        </a:p>
      </xdr:txBody>
    </xdr:sp>
    <xdr:clientData fPrintsWithSheet="0"/>
  </xdr:twoCellAnchor>
</xdr:wsDr>
</file>

<file path=xl/drawings/drawing3.xml><?xml version="1.0" encoding="utf-8"?>
<xdr:wsDr xmlns:xdr="http://schemas.openxmlformats.org/drawingml/2006/spreadsheetDrawing" xmlns:a="http://schemas.openxmlformats.org/drawingml/2006/main">
  <xdr:twoCellAnchor>
    <xdr:from>
      <xdr:col>4</xdr:col>
      <xdr:colOff>91441</xdr:colOff>
      <xdr:row>1</xdr:row>
      <xdr:rowOff>106680</xdr:rowOff>
    </xdr:from>
    <xdr:to>
      <xdr:col>4</xdr:col>
      <xdr:colOff>358141</xdr:colOff>
      <xdr:row>2</xdr:row>
      <xdr:rowOff>260040</xdr:rowOff>
    </xdr:to>
    <xdr:pic>
      <xdr:nvPicPr>
        <xdr:cNvPr id="2" name="Picture 1" descr="logovvsm.jpg">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stretch>
          <a:fillRect/>
        </a:stretch>
      </xdr:blipFill>
      <xdr:spPr>
        <a:xfrm>
          <a:off x="1386841" y="106680"/>
          <a:ext cx="266700" cy="353385"/>
        </a:xfrm>
        <a:prstGeom prst="roundRect">
          <a:avLst>
            <a:gd name="adj" fmla="val 8594"/>
          </a:avLst>
        </a:prstGeom>
        <a:solidFill>
          <a:srgbClr val="FFFFFF">
            <a:shade val="85000"/>
          </a:srgbClr>
        </a:solidFill>
        <a:ln>
          <a:noFill/>
        </a:ln>
        <a:effectLst>
          <a:outerShdw blurRad="63500" sx="102000" sy="102000" algn="ctr" rotWithShape="0">
            <a:prstClr val="black">
              <a:alpha val="40000"/>
            </a:prstClr>
          </a:outerShdw>
        </a:effectLst>
      </xdr:spPr>
    </xdr:pic>
    <xdr:clientData/>
  </xdr:twoCellAnchor>
  <xdr:twoCellAnchor>
    <xdr:from>
      <xdr:col>4</xdr:col>
      <xdr:colOff>403860</xdr:colOff>
      <xdr:row>1</xdr:row>
      <xdr:rowOff>99060</xdr:rowOff>
    </xdr:from>
    <xdr:to>
      <xdr:col>7</xdr:col>
      <xdr:colOff>251460</xdr:colOff>
      <xdr:row>2</xdr:row>
      <xdr:rowOff>274320</xdr:rowOff>
    </xdr:to>
    <xdr:sp macro="" textlink="REP.gts">
      <xdr:nvSpPr>
        <xdr:cNvPr id="3" name="TextBox 2">
          <a:extLst>
            <a:ext uri="{FF2B5EF4-FFF2-40B4-BE49-F238E27FC236}">
              <a16:creationId xmlns:a16="http://schemas.microsoft.com/office/drawing/2014/main" id="{00000000-0008-0000-0300-000003000000}"/>
            </a:ext>
          </a:extLst>
        </xdr:cNvPr>
        <xdr:cNvSpPr txBox="1"/>
      </xdr:nvSpPr>
      <xdr:spPr>
        <a:xfrm>
          <a:off x="1699260" y="99060"/>
          <a:ext cx="1981200" cy="37528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fld id="{3BA988AB-649B-451C-8315-D0DA89BAC50D}" type="TxLink">
            <a:rPr lang="en-US" sz="900" b="1" i="0" u="none" strike="noStrike">
              <a:solidFill>
                <a:srgbClr val="000000"/>
              </a:solidFill>
              <a:latin typeface="+mn-lt"/>
            </a:rPr>
            <a:pPr algn="l"/>
            <a:t>Global Tourism Solutions (UK) Ltd</a:t>
          </a:fld>
          <a:endParaRPr lang="en-GB" sz="900" b="1">
            <a:latin typeface="+mn-lt"/>
          </a:endParaRPr>
        </a:p>
      </xdr:txBody>
    </xdr:sp>
    <xdr:clientData/>
  </xdr:twoCellAnchor>
  <xdr:twoCellAnchor>
    <xdr:from>
      <xdr:col>4</xdr:col>
      <xdr:colOff>60960</xdr:colOff>
      <xdr:row>3</xdr:row>
      <xdr:rowOff>15240</xdr:rowOff>
    </xdr:from>
    <xdr:to>
      <xdr:col>21</xdr:col>
      <xdr:colOff>45720</xdr:colOff>
      <xdr:row>3</xdr:row>
      <xdr:rowOff>320040</xdr:rowOff>
    </xdr:to>
    <xdr:sp macro="" textlink="">
      <xdr:nvSpPr>
        <xdr:cNvPr id="4" name="Rectangle 3">
          <a:extLst>
            <a:ext uri="{FF2B5EF4-FFF2-40B4-BE49-F238E27FC236}">
              <a16:creationId xmlns:a16="http://schemas.microsoft.com/office/drawing/2014/main" id="{00000000-0008-0000-0300-000004000000}"/>
            </a:ext>
          </a:extLst>
        </xdr:cNvPr>
        <xdr:cNvSpPr/>
      </xdr:nvSpPr>
      <xdr:spPr>
        <a:xfrm>
          <a:off x="1356360" y="548640"/>
          <a:ext cx="8919210" cy="304800"/>
        </a:xfrm>
        <a:prstGeom prst="rect">
          <a:avLst/>
        </a:prstGeom>
        <a:noFill/>
        <a:ln>
          <a:noFill/>
        </a:ln>
        <a:effectLst>
          <a:outerShdw blurRad="63500" sx="102000" sy="102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lIns="36000" tIns="36000" rIns="36000" bIns="36000" rtlCol="0" anchor="ctr"/>
        <a:lstStyle/>
        <a:p>
          <a:pPr algn="l"/>
          <a:endParaRPr lang="en-GB" sz="1000" b="0" i="1" baseline="0">
            <a:solidFill>
              <a:schemeClr val="bg1"/>
            </a:solidFill>
          </a:endParaRPr>
        </a:p>
      </xdr:txBody>
    </xdr:sp>
    <xdr:clientData fPrintsWithSheet="0"/>
  </xdr:twoCellAnchor>
  <xdr:twoCellAnchor editAs="oneCell">
    <xdr:from>
      <xdr:col>22</xdr:col>
      <xdr:colOff>320041</xdr:colOff>
      <xdr:row>3</xdr:row>
      <xdr:rowOff>45721</xdr:rowOff>
    </xdr:from>
    <xdr:to>
      <xdr:col>23</xdr:col>
      <xdr:colOff>398146</xdr:colOff>
      <xdr:row>4</xdr:row>
      <xdr:rowOff>299165</xdr:rowOff>
    </xdr:to>
    <xdr:pic>
      <xdr:nvPicPr>
        <xdr:cNvPr id="5" name="Picture 4">
          <a:hlinkClick xmlns:r="http://schemas.openxmlformats.org/officeDocument/2006/relationships" r:id="rId2" tooltip="Home - Navigation Page"/>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3" cstate="print">
          <a:grayscl/>
          <a:extLst>
            <a:ext uri="{28A0092B-C50C-407E-A947-70E740481C1C}">
              <a14:useLocalDpi xmlns:a14="http://schemas.microsoft.com/office/drawing/2010/main" val="0"/>
            </a:ext>
          </a:extLst>
        </a:blip>
        <a:stretch>
          <a:fillRect/>
        </a:stretch>
      </xdr:blipFill>
      <xdr:spPr>
        <a:xfrm>
          <a:off x="11035666" y="579121"/>
          <a:ext cx="563880" cy="586819"/>
        </a:xfrm>
        <a:prstGeom prst="rect">
          <a:avLst/>
        </a:prstGeom>
      </xdr:spPr>
    </xdr:pic>
    <xdr:clientData/>
  </xdr:twoCellAnchor>
  <xdr:twoCellAnchor>
    <xdr:from>
      <xdr:col>7</xdr:col>
      <xdr:colOff>236220</xdr:colOff>
      <xdr:row>1</xdr:row>
      <xdr:rowOff>91440</xdr:rowOff>
    </xdr:from>
    <xdr:to>
      <xdr:col>22</xdr:col>
      <xdr:colOff>182880</xdr:colOff>
      <xdr:row>2</xdr:row>
      <xdr:rowOff>190500</xdr:rowOff>
    </xdr:to>
    <xdr:sp macro="" textlink="">
      <xdr:nvSpPr>
        <xdr:cNvPr id="6" name="Rectangle 5">
          <a:extLst>
            <a:ext uri="{FF2B5EF4-FFF2-40B4-BE49-F238E27FC236}">
              <a16:creationId xmlns:a16="http://schemas.microsoft.com/office/drawing/2014/main" id="{00000000-0008-0000-0300-000006000000}"/>
            </a:ext>
          </a:extLst>
        </xdr:cNvPr>
        <xdr:cNvSpPr/>
      </xdr:nvSpPr>
      <xdr:spPr>
        <a:xfrm>
          <a:off x="3665220" y="91440"/>
          <a:ext cx="7233285" cy="299085"/>
        </a:xfrm>
        <a:prstGeom prst="rect">
          <a:avLst/>
        </a:prstGeom>
        <a:noFill/>
        <a:ln>
          <a:noFill/>
        </a:ln>
        <a:effectLst>
          <a:outerShdw blurRad="63500" sx="102000" sy="102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lIns="36000" tIns="36000" rIns="36000" bIns="36000" rtlCol="0" anchor="ctr"/>
        <a:lstStyle/>
        <a:p>
          <a:pPr algn="r"/>
          <a:r>
            <a:rPr lang="en-GB" sz="1000" b="1">
              <a:solidFill>
                <a:schemeClr val="tx1">
                  <a:lumMod val="65000"/>
                  <a:lumOff val="35000"/>
                </a:schemeClr>
              </a:solidFill>
            </a:rPr>
            <a:t>Pressing this on-screen "Home" button on</a:t>
          </a:r>
          <a:r>
            <a:rPr lang="en-GB" sz="1000" b="1" baseline="0">
              <a:solidFill>
                <a:schemeClr val="tx1">
                  <a:lumMod val="65000"/>
                  <a:lumOff val="35000"/>
                </a:schemeClr>
              </a:solidFill>
            </a:rPr>
            <a:t> any sheet of the report takes you back to the navigation page</a:t>
          </a:r>
          <a:endParaRPr lang="en-GB" sz="1000" b="0" i="1" baseline="0">
            <a:solidFill>
              <a:schemeClr val="tx1">
                <a:lumMod val="65000"/>
                <a:lumOff val="35000"/>
              </a:schemeClr>
            </a:solidFill>
          </a:endParaRPr>
        </a:p>
      </xdr:txBody>
    </xdr:sp>
    <xdr:clientData fPrintsWithSheet="0"/>
  </xdr:twoCellAnchor>
  <xdr:twoCellAnchor>
    <xdr:from>
      <xdr:col>22</xdr:col>
      <xdr:colOff>232410</xdr:colOff>
      <xdr:row>2</xdr:row>
      <xdr:rowOff>11430</xdr:rowOff>
    </xdr:from>
    <xdr:to>
      <xdr:col>23</xdr:col>
      <xdr:colOff>190500</xdr:colOff>
      <xdr:row>2</xdr:row>
      <xdr:rowOff>281940</xdr:rowOff>
    </xdr:to>
    <xdr:sp macro="" textlink="">
      <xdr:nvSpPr>
        <xdr:cNvPr id="7" name="Bent Arrow 6">
          <a:extLst>
            <a:ext uri="{FF2B5EF4-FFF2-40B4-BE49-F238E27FC236}">
              <a16:creationId xmlns:a16="http://schemas.microsoft.com/office/drawing/2014/main" id="{00000000-0008-0000-0300-000007000000}"/>
            </a:ext>
          </a:extLst>
        </xdr:cNvPr>
        <xdr:cNvSpPr/>
      </xdr:nvSpPr>
      <xdr:spPr>
        <a:xfrm rot="5400000">
          <a:off x="11034713" y="124777"/>
          <a:ext cx="270510" cy="443865"/>
        </a:xfrm>
        <a:prstGeom prst="bentArrow">
          <a:avLst/>
        </a:prstGeom>
        <a:solidFill>
          <a:schemeClr val="bg1">
            <a:lumMod val="85000"/>
          </a:schemeClr>
        </a:solidFill>
        <a:ln w="22225">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chemeClr val="tx1"/>
            </a:solidFill>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13</xdr:col>
      <xdr:colOff>314325</xdr:colOff>
      <xdr:row>4</xdr:row>
      <xdr:rowOff>0</xdr:rowOff>
    </xdr:from>
    <xdr:to>
      <xdr:col>16</xdr:col>
      <xdr:colOff>148365</xdr:colOff>
      <xdr:row>4</xdr:row>
      <xdr:rowOff>327600</xdr:rowOff>
    </xdr:to>
    <xdr:sp macro="" textlink="">
      <xdr:nvSpPr>
        <xdr:cNvPr id="64" name="Rectangle 63">
          <a:extLst>
            <a:ext uri="{FF2B5EF4-FFF2-40B4-BE49-F238E27FC236}">
              <a16:creationId xmlns:a16="http://schemas.microsoft.com/office/drawing/2014/main" id="{00000000-0008-0000-0400-000040000000}"/>
            </a:ext>
          </a:extLst>
        </xdr:cNvPr>
        <xdr:cNvSpPr/>
      </xdr:nvSpPr>
      <xdr:spPr>
        <a:xfrm>
          <a:off x="6457950" y="866775"/>
          <a:ext cx="1205640" cy="327600"/>
        </a:xfrm>
        <a:prstGeom prst="rect">
          <a:avLst/>
        </a:prstGeom>
        <a:solidFill>
          <a:schemeClr val="accent1"/>
        </a:solidFill>
        <a:ln>
          <a:noFill/>
        </a:ln>
        <a:effectLst>
          <a:outerShdw blurRad="63500" sx="102000" sy="102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lIns="0" tIns="0" rIns="0" bIns="0" rtlCol="0" anchor="ctr"/>
        <a:lstStyle/>
        <a:p>
          <a:pPr algn="ctr"/>
          <a:r>
            <a:rPr lang="en-GB" sz="900" b="1">
              <a:solidFill>
                <a:schemeClr val="bg1"/>
              </a:solidFill>
            </a:rPr>
            <a:t>INDEXATION</a:t>
          </a:r>
        </a:p>
        <a:p>
          <a:pPr algn="ctr"/>
          <a:r>
            <a:rPr lang="en-GB" sz="900" b="0">
              <a:solidFill>
                <a:schemeClr val="bg1"/>
              </a:solidFill>
            </a:rPr>
            <a:t>Reflect Price</a:t>
          </a:r>
          <a:r>
            <a:rPr lang="en-GB" sz="900" b="0" baseline="0">
              <a:solidFill>
                <a:schemeClr val="bg1"/>
              </a:solidFill>
            </a:rPr>
            <a:t> Inflation?</a:t>
          </a:r>
          <a:endParaRPr lang="en-GB" sz="900" b="0">
            <a:solidFill>
              <a:schemeClr val="bg1"/>
            </a:solidFill>
          </a:endParaRPr>
        </a:p>
      </xdr:txBody>
    </xdr:sp>
    <xdr:clientData fPrintsWithSheet="0"/>
  </xdr:twoCellAnchor>
  <xdr:twoCellAnchor>
    <xdr:from>
      <xdr:col>4</xdr:col>
      <xdr:colOff>1234440</xdr:colOff>
      <xdr:row>3</xdr:row>
      <xdr:rowOff>304801</xdr:rowOff>
    </xdr:from>
    <xdr:to>
      <xdr:col>7</xdr:col>
      <xdr:colOff>15240</xdr:colOff>
      <xdr:row>4</xdr:row>
      <xdr:rowOff>329521</xdr:rowOff>
    </xdr:to>
    <xdr:sp macro="" textlink="">
      <xdr:nvSpPr>
        <xdr:cNvPr id="4" name="Rectangle 3">
          <a:extLst>
            <a:ext uri="{FF2B5EF4-FFF2-40B4-BE49-F238E27FC236}">
              <a16:creationId xmlns:a16="http://schemas.microsoft.com/office/drawing/2014/main" id="{00000000-0008-0000-0400-000004000000}"/>
            </a:ext>
          </a:extLst>
        </xdr:cNvPr>
        <xdr:cNvSpPr/>
      </xdr:nvSpPr>
      <xdr:spPr>
        <a:xfrm>
          <a:off x="2575560" y="845821"/>
          <a:ext cx="944880" cy="360000"/>
        </a:xfrm>
        <a:prstGeom prst="rect">
          <a:avLst/>
        </a:prstGeom>
        <a:noFill/>
        <a:ln>
          <a:noFill/>
        </a:ln>
        <a:effectLst>
          <a:outerShdw blurRad="63500" sx="101000" sy="101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lIns="36000" tIns="36000" rIns="36000" bIns="36000" rtlCol="0" anchor="ctr"/>
        <a:lstStyle/>
        <a:p>
          <a:pPr algn="ctr"/>
          <a:r>
            <a:rPr lang="en-GB" sz="900" b="1">
              <a:solidFill>
                <a:schemeClr val="bg1"/>
              </a:solidFill>
            </a:rPr>
            <a:t>COMPARISON</a:t>
          </a:r>
        </a:p>
        <a:p>
          <a:pPr algn="ctr"/>
          <a:r>
            <a:rPr lang="en-GB" sz="900" b="1">
              <a:solidFill>
                <a:schemeClr val="bg1"/>
              </a:solidFill>
            </a:rPr>
            <a:t>YEAR</a:t>
          </a:r>
          <a:endParaRPr lang="en-GB" sz="900" b="1" baseline="0">
            <a:solidFill>
              <a:schemeClr val="bg1"/>
            </a:solidFill>
          </a:endParaRPr>
        </a:p>
      </xdr:txBody>
    </xdr:sp>
    <xdr:clientData fPrintsWithSheet="0"/>
  </xdr:twoCellAnchor>
  <xdr:twoCellAnchor>
    <xdr:from>
      <xdr:col>4</xdr:col>
      <xdr:colOff>91441</xdr:colOff>
      <xdr:row>1</xdr:row>
      <xdr:rowOff>106680</xdr:rowOff>
    </xdr:from>
    <xdr:to>
      <xdr:col>4</xdr:col>
      <xdr:colOff>358141</xdr:colOff>
      <xdr:row>2</xdr:row>
      <xdr:rowOff>260040</xdr:rowOff>
    </xdr:to>
    <xdr:pic>
      <xdr:nvPicPr>
        <xdr:cNvPr id="5" name="Picture 4" descr="logovvsm.jpg">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1" cstate="print"/>
        <a:stretch>
          <a:fillRect/>
        </a:stretch>
      </xdr:blipFill>
      <xdr:spPr>
        <a:xfrm>
          <a:off x="1432561" y="106680"/>
          <a:ext cx="266700" cy="359100"/>
        </a:xfrm>
        <a:prstGeom prst="roundRect">
          <a:avLst>
            <a:gd name="adj" fmla="val 8594"/>
          </a:avLst>
        </a:prstGeom>
        <a:solidFill>
          <a:srgbClr val="FFFFFF">
            <a:shade val="85000"/>
          </a:srgbClr>
        </a:solidFill>
        <a:ln>
          <a:noFill/>
        </a:ln>
        <a:effectLst>
          <a:outerShdw blurRad="63500" sx="102000" sy="102000" algn="ctr" rotWithShape="0">
            <a:prstClr val="black">
              <a:alpha val="40000"/>
            </a:prstClr>
          </a:outerShdw>
        </a:effectLst>
      </xdr:spPr>
    </xdr:pic>
    <xdr:clientData/>
  </xdr:twoCellAnchor>
  <xdr:twoCellAnchor>
    <xdr:from>
      <xdr:col>4</xdr:col>
      <xdr:colOff>403860</xdr:colOff>
      <xdr:row>1</xdr:row>
      <xdr:rowOff>99060</xdr:rowOff>
    </xdr:from>
    <xdr:to>
      <xdr:col>7</xdr:col>
      <xdr:colOff>251460</xdr:colOff>
      <xdr:row>2</xdr:row>
      <xdr:rowOff>274320</xdr:rowOff>
    </xdr:to>
    <xdr:sp macro="" textlink="REP.gts">
      <xdr:nvSpPr>
        <xdr:cNvPr id="6" name="TextBox 5">
          <a:extLst>
            <a:ext uri="{FF2B5EF4-FFF2-40B4-BE49-F238E27FC236}">
              <a16:creationId xmlns:a16="http://schemas.microsoft.com/office/drawing/2014/main" id="{00000000-0008-0000-0400-000006000000}"/>
            </a:ext>
          </a:extLst>
        </xdr:cNvPr>
        <xdr:cNvSpPr txBox="1"/>
      </xdr:nvSpPr>
      <xdr:spPr>
        <a:xfrm>
          <a:off x="1744980" y="99060"/>
          <a:ext cx="2011680" cy="381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fld id="{3BA988AB-649B-451C-8315-D0DA89BAC50D}" type="TxLink">
            <a:rPr lang="en-US" sz="900" b="1" i="0" u="none" strike="noStrike">
              <a:solidFill>
                <a:srgbClr val="000000"/>
              </a:solidFill>
              <a:latin typeface="+mn-lt"/>
            </a:rPr>
            <a:pPr algn="l"/>
            <a:t>Global Tourism Solutions (UK) Ltd</a:t>
          </a:fld>
          <a:endParaRPr lang="en-GB" sz="900" b="1">
            <a:latin typeface="+mn-lt"/>
          </a:endParaRPr>
        </a:p>
      </xdr:txBody>
    </xdr:sp>
    <xdr:clientData/>
  </xdr:twoCellAnchor>
  <xdr:twoCellAnchor>
    <xdr:from>
      <xdr:col>4</xdr:col>
      <xdr:colOff>60960</xdr:colOff>
      <xdr:row>3</xdr:row>
      <xdr:rowOff>15240</xdr:rowOff>
    </xdr:from>
    <xdr:to>
      <xdr:col>21</xdr:col>
      <xdr:colOff>45720</xdr:colOff>
      <xdr:row>3</xdr:row>
      <xdr:rowOff>320040</xdr:rowOff>
    </xdr:to>
    <xdr:sp macro="" textlink="">
      <xdr:nvSpPr>
        <xdr:cNvPr id="8" name="Rectangle 7">
          <a:extLst>
            <a:ext uri="{FF2B5EF4-FFF2-40B4-BE49-F238E27FC236}">
              <a16:creationId xmlns:a16="http://schemas.microsoft.com/office/drawing/2014/main" id="{00000000-0008-0000-0400-000008000000}"/>
            </a:ext>
          </a:extLst>
        </xdr:cNvPr>
        <xdr:cNvSpPr/>
      </xdr:nvSpPr>
      <xdr:spPr>
        <a:xfrm>
          <a:off x="1402080" y="556260"/>
          <a:ext cx="8763000" cy="304800"/>
        </a:xfrm>
        <a:prstGeom prst="rect">
          <a:avLst/>
        </a:prstGeom>
        <a:noFill/>
        <a:ln>
          <a:noFill/>
        </a:ln>
        <a:effectLst>
          <a:outerShdw blurRad="63500" sx="102000" sy="102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lIns="36000" tIns="36000" rIns="36000" bIns="36000" rtlCol="0" anchor="ctr"/>
        <a:lstStyle/>
        <a:p>
          <a:pPr algn="l"/>
          <a:r>
            <a:rPr lang="en-GB" sz="1000" b="1">
              <a:solidFill>
                <a:schemeClr val="bg1"/>
              </a:solidFill>
            </a:rPr>
            <a:t>REPORT CONTROLS </a:t>
          </a:r>
          <a:r>
            <a:rPr lang="en-GB" sz="1000" b="0" i="1">
              <a:solidFill>
                <a:schemeClr val="bg1"/>
              </a:solidFill>
            </a:rPr>
            <a:t>- Please adjust the report outputs</a:t>
          </a:r>
          <a:r>
            <a:rPr lang="en-GB" sz="1000" b="0" i="1" baseline="0">
              <a:solidFill>
                <a:schemeClr val="bg1"/>
              </a:solidFill>
            </a:rPr>
            <a:t> using the drop-down controls below. Each sheet has a set of controls, allowing a range of adjustments.</a:t>
          </a:r>
        </a:p>
      </xdr:txBody>
    </xdr:sp>
    <xdr:clientData fPrintsWithSheet="0"/>
  </xdr:twoCellAnchor>
  <xdr:twoCellAnchor editAs="oneCell">
    <xdr:from>
      <xdr:col>22</xdr:col>
      <xdr:colOff>320041</xdr:colOff>
      <xdr:row>3</xdr:row>
      <xdr:rowOff>45721</xdr:rowOff>
    </xdr:from>
    <xdr:to>
      <xdr:col>23</xdr:col>
      <xdr:colOff>398146</xdr:colOff>
      <xdr:row>4</xdr:row>
      <xdr:rowOff>299165</xdr:rowOff>
    </xdr:to>
    <xdr:pic>
      <xdr:nvPicPr>
        <xdr:cNvPr id="9" name="Picture 8">
          <a:hlinkClick xmlns:r="http://schemas.openxmlformats.org/officeDocument/2006/relationships" r:id="rId2" tooltip="Home - Navigation Page"/>
          <a:extLst>
            <a:ext uri="{FF2B5EF4-FFF2-40B4-BE49-F238E27FC236}">
              <a16:creationId xmlns:a16="http://schemas.microsoft.com/office/drawing/2014/main" id="{00000000-0008-0000-0400-000009000000}"/>
            </a:ext>
          </a:extLst>
        </xdr:cNvPr>
        <xdr:cNvPicPr>
          <a:picLocks noChangeAspect="1"/>
        </xdr:cNvPicPr>
      </xdr:nvPicPr>
      <xdr:blipFill>
        <a:blip xmlns:r="http://schemas.openxmlformats.org/officeDocument/2006/relationships" r:embed="rId3" cstate="print">
          <a:grayscl/>
          <a:extLst>
            <a:ext uri="{28A0092B-C50C-407E-A947-70E740481C1C}">
              <a14:useLocalDpi xmlns:a14="http://schemas.microsoft.com/office/drawing/2010/main" val="0"/>
            </a:ext>
          </a:extLst>
        </a:blip>
        <a:stretch>
          <a:fillRect/>
        </a:stretch>
      </xdr:blipFill>
      <xdr:spPr>
        <a:xfrm>
          <a:off x="10911841" y="586741"/>
          <a:ext cx="579120" cy="588724"/>
        </a:xfrm>
        <a:prstGeom prst="rect">
          <a:avLst/>
        </a:prstGeom>
      </xdr:spPr>
    </xdr:pic>
    <xdr:clientData/>
  </xdr:twoCellAnchor>
  <xdr:twoCellAnchor>
    <xdr:from>
      <xdr:col>17</xdr:col>
      <xdr:colOff>281940</xdr:colOff>
      <xdr:row>3</xdr:row>
      <xdr:rowOff>304801</xdr:rowOff>
    </xdr:from>
    <xdr:to>
      <xdr:col>21</xdr:col>
      <xdr:colOff>192180</xdr:colOff>
      <xdr:row>4</xdr:row>
      <xdr:rowOff>329521</xdr:rowOff>
    </xdr:to>
    <xdr:sp macro="" textlink="">
      <xdr:nvSpPr>
        <xdr:cNvPr id="11" name="Rectangle 10">
          <a:extLst>
            <a:ext uri="{FF2B5EF4-FFF2-40B4-BE49-F238E27FC236}">
              <a16:creationId xmlns:a16="http://schemas.microsoft.com/office/drawing/2014/main" id="{00000000-0008-0000-0400-00000B000000}"/>
            </a:ext>
          </a:extLst>
        </xdr:cNvPr>
        <xdr:cNvSpPr/>
      </xdr:nvSpPr>
      <xdr:spPr>
        <a:xfrm>
          <a:off x="8511540" y="845821"/>
          <a:ext cx="1800000" cy="360000"/>
        </a:xfrm>
        <a:prstGeom prst="rect">
          <a:avLst/>
        </a:prstGeom>
        <a:noFill/>
        <a:ln>
          <a:noFill/>
        </a:ln>
        <a:effectLst>
          <a:outerShdw blurRad="63500" sx="101000" sy="101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lIns="36000" tIns="36000" rIns="36000" bIns="36000" rtlCol="0" anchor="ctr"/>
        <a:lstStyle/>
        <a:p>
          <a:pPr algn="ctr"/>
          <a:r>
            <a:rPr lang="en-GB" sz="900" b="1">
              <a:solidFill>
                <a:schemeClr val="bg1"/>
              </a:solidFill>
            </a:rPr>
            <a:t>HIGHLIGHT</a:t>
          </a:r>
          <a:r>
            <a:rPr lang="en-GB" sz="900" b="1" baseline="0">
              <a:solidFill>
                <a:schemeClr val="bg1"/>
              </a:solidFill>
            </a:rPr>
            <a:t> % CHANGES</a:t>
          </a:r>
        </a:p>
        <a:p>
          <a:pPr algn="ctr"/>
          <a:r>
            <a:rPr lang="en-GB" sz="900" b="1" baseline="0">
              <a:solidFill>
                <a:schemeClr val="bg1"/>
              </a:solidFill>
            </a:rPr>
            <a:t>GREATER THAN OR EQUAL TO:</a:t>
          </a:r>
        </a:p>
      </xdr:txBody>
    </xdr:sp>
    <xdr:clientData fPrintsWithSheet="0"/>
  </xdr:twoCellAnchor>
  <mc:AlternateContent xmlns:mc="http://schemas.openxmlformats.org/markup-compatibility/2006">
    <mc:Choice xmlns:a14="http://schemas.microsoft.com/office/drawing/2010/main" Requires="a14">
      <xdr:twoCellAnchor editAs="oneCell">
        <xdr:from>
          <xdr:col>21</xdr:col>
          <xdr:colOff>182880</xdr:colOff>
          <xdr:row>4</xdr:row>
          <xdr:rowOff>22860</xdr:rowOff>
        </xdr:from>
        <xdr:to>
          <xdr:col>22</xdr:col>
          <xdr:colOff>266700</xdr:colOff>
          <xdr:row>4</xdr:row>
          <xdr:rowOff>297180</xdr:rowOff>
        </xdr:to>
        <xdr:sp macro="" textlink="">
          <xdr:nvSpPr>
            <xdr:cNvPr id="125953" name="Drop Down 1" hidden="1">
              <a:extLst>
                <a:ext uri="{63B3BB69-23CF-44E3-9099-C40C66FF867C}">
                  <a14:compatExt spid="_x0000_s125953"/>
                </a:ext>
                <a:ext uri="{FF2B5EF4-FFF2-40B4-BE49-F238E27FC236}">
                  <a16:creationId xmlns:a16="http://schemas.microsoft.com/office/drawing/2014/main" id="{00000000-0008-0000-0400-000001E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419100</xdr:colOff>
          <xdr:row>4</xdr:row>
          <xdr:rowOff>22860</xdr:rowOff>
        </xdr:from>
        <xdr:to>
          <xdr:col>8</xdr:col>
          <xdr:colOff>137160</xdr:colOff>
          <xdr:row>4</xdr:row>
          <xdr:rowOff>297180</xdr:rowOff>
        </xdr:to>
        <xdr:sp macro="" textlink="">
          <xdr:nvSpPr>
            <xdr:cNvPr id="125954" name="Drop Down 2" hidden="1">
              <a:extLst>
                <a:ext uri="{63B3BB69-23CF-44E3-9099-C40C66FF867C}">
                  <a14:compatExt spid="_x0000_s125954"/>
                </a:ext>
                <a:ext uri="{FF2B5EF4-FFF2-40B4-BE49-F238E27FC236}">
                  <a16:creationId xmlns:a16="http://schemas.microsoft.com/office/drawing/2014/main" id="{00000000-0008-0000-0400-000002E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4</xdr:row>
          <xdr:rowOff>22860</xdr:rowOff>
        </xdr:from>
        <xdr:to>
          <xdr:col>17</xdr:col>
          <xdr:colOff>297180</xdr:colOff>
          <xdr:row>4</xdr:row>
          <xdr:rowOff>297180</xdr:rowOff>
        </xdr:to>
        <xdr:sp macro="" textlink="">
          <xdr:nvSpPr>
            <xdr:cNvPr id="125955" name="Drop Down 3" hidden="1">
              <a:extLst>
                <a:ext uri="{63B3BB69-23CF-44E3-9099-C40C66FF867C}">
                  <a14:compatExt spid="_x0000_s125955"/>
                </a:ext>
                <a:ext uri="{FF2B5EF4-FFF2-40B4-BE49-F238E27FC236}">
                  <a16:creationId xmlns:a16="http://schemas.microsoft.com/office/drawing/2014/main" id="{00000000-0008-0000-0400-000003E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4</xdr:col>
      <xdr:colOff>15240</xdr:colOff>
      <xdr:row>4</xdr:row>
      <xdr:rowOff>0</xdr:rowOff>
    </xdr:from>
    <xdr:to>
      <xdr:col>4</xdr:col>
      <xdr:colOff>579120</xdr:colOff>
      <xdr:row>4</xdr:row>
      <xdr:rowOff>327660</xdr:rowOff>
    </xdr:to>
    <xdr:sp macro="" textlink="">
      <xdr:nvSpPr>
        <xdr:cNvPr id="20" name="Rectangle 19">
          <a:extLst>
            <a:ext uri="{FF2B5EF4-FFF2-40B4-BE49-F238E27FC236}">
              <a16:creationId xmlns:a16="http://schemas.microsoft.com/office/drawing/2014/main" id="{00000000-0008-0000-0400-000014000000}"/>
            </a:ext>
          </a:extLst>
        </xdr:cNvPr>
        <xdr:cNvSpPr/>
      </xdr:nvSpPr>
      <xdr:spPr>
        <a:xfrm>
          <a:off x="1356360" y="876300"/>
          <a:ext cx="563880" cy="327660"/>
        </a:xfrm>
        <a:prstGeom prst="rect">
          <a:avLst/>
        </a:prstGeom>
        <a:solidFill>
          <a:schemeClr val="tx2"/>
        </a:solidFill>
        <a:ln>
          <a:noFill/>
        </a:ln>
        <a:effectLst>
          <a:outerShdw blurRad="63500" sx="101000" sy="101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lIns="0" tIns="0" rIns="0" bIns="0" rtlCol="0" anchor="ctr"/>
        <a:lstStyle/>
        <a:p>
          <a:pPr algn="ctr"/>
          <a:r>
            <a:rPr lang="en-GB" sz="900" b="1">
              <a:solidFill>
                <a:schemeClr val="bg1"/>
              </a:solidFill>
            </a:rPr>
            <a:t>FOCUS</a:t>
          </a:r>
        </a:p>
        <a:p>
          <a:pPr algn="ctr"/>
          <a:r>
            <a:rPr lang="en-GB" sz="900" b="1" baseline="0">
              <a:solidFill>
                <a:schemeClr val="bg1"/>
              </a:solidFill>
            </a:rPr>
            <a:t>YEAR</a:t>
          </a:r>
        </a:p>
      </xdr:txBody>
    </xdr:sp>
    <xdr:clientData fPrintsWithSheet="0"/>
  </xdr:twoCellAnchor>
  <mc:AlternateContent xmlns:mc="http://schemas.openxmlformats.org/markup-compatibility/2006">
    <mc:Choice xmlns:a14="http://schemas.microsoft.com/office/drawing/2010/main" Requires="a14">
      <xdr:twoCellAnchor editAs="oneCell">
        <xdr:from>
          <xdr:col>4</xdr:col>
          <xdr:colOff>601980</xdr:colOff>
          <xdr:row>4</xdr:row>
          <xdr:rowOff>22860</xdr:rowOff>
        </xdr:from>
        <xdr:to>
          <xdr:col>4</xdr:col>
          <xdr:colOff>1318260</xdr:colOff>
          <xdr:row>4</xdr:row>
          <xdr:rowOff>297180</xdr:rowOff>
        </xdr:to>
        <xdr:sp macro="" textlink="">
          <xdr:nvSpPr>
            <xdr:cNvPr id="125956" name="Drop Down 4" hidden="1">
              <a:extLst>
                <a:ext uri="{63B3BB69-23CF-44E3-9099-C40C66FF867C}">
                  <a14:compatExt spid="_x0000_s125956"/>
                </a:ext>
                <a:ext uri="{FF2B5EF4-FFF2-40B4-BE49-F238E27FC236}">
                  <a16:creationId xmlns:a16="http://schemas.microsoft.com/office/drawing/2014/main" id="{00000000-0008-0000-0400-000004E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4</xdr:col>
      <xdr:colOff>106678</xdr:colOff>
      <xdr:row>9</xdr:row>
      <xdr:rowOff>91440</xdr:rowOff>
    </xdr:from>
    <xdr:to>
      <xdr:col>6</xdr:col>
      <xdr:colOff>323038</xdr:colOff>
      <xdr:row>19</xdr:row>
      <xdr:rowOff>110273</xdr:rowOff>
    </xdr:to>
    <xdr:grpSp>
      <xdr:nvGrpSpPr>
        <xdr:cNvPr id="21" name="Group 20">
          <a:hlinkClick xmlns:r="http://schemas.openxmlformats.org/officeDocument/2006/relationships" r:id="rId4" tooltip="Comparative Headlines - Compares two years across the key impact measures."/>
          <a:extLst>
            <a:ext uri="{FF2B5EF4-FFF2-40B4-BE49-F238E27FC236}">
              <a16:creationId xmlns:a16="http://schemas.microsoft.com/office/drawing/2014/main" id="{00000000-0008-0000-0400-000015000000}"/>
            </a:ext>
          </a:extLst>
        </xdr:cNvPr>
        <xdr:cNvGrpSpPr/>
      </xdr:nvGrpSpPr>
      <xdr:grpSpPr>
        <a:xfrm>
          <a:off x="1447798" y="2125980"/>
          <a:ext cx="1908000" cy="2076233"/>
          <a:chOff x="1402078" y="1684020"/>
          <a:chExt cx="1980002" cy="2076233"/>
        </a:xfrm>
      </xdr:grpSpPr>
      <xdr:sp macro="" textlink="">
        <xdr:nvSpPr>
          <xdr:cNvPr id="27" name="TextBox 26">
            <a:extLst>
              <a:ext uri="{FF2B5EF4-FFF2-40B4-BE49-F238E27FC236}">
                <a16:creationId xmlns:a16="http://schemas.microsoft.com/office/drawing/2014/main" id="{00000000-0008-0000-0400-00001B000000}"/>
              </a:ext>
            </a:extLst>
          </xdr:cNvPr>
          <xdr:cNvSpPr txBox="1"/>
        </xdr:nvSpPr>
        <xdr:spPr>
          <a:xfrm>
            <a:off x="1402078" y="1684020"/>
            <a:ext cx="1980000" cy="900000"/>
          </a:xfrm>
          <a:prstGeom prst="rect">
            <a:avLst/>
          </a:prstGeom>
          <a:solidFill>
            <a:srgbClr val="FFC000"/>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tIns="36000" rIns="0" bIns="0" rtlCol="0" anchor="t" anchorCtr="0"/>
          <a:lstStyle/>
          <a:p>
            <a:pPr algn="ctr"/>
            <a:r>
              <a:rPr lang="en-GB" sz="1400" b="1">
                <a:solidFill>
                  <a:sysClr val="windowText" lastClr="000000"/>
                </a:solidFill>
              </a:rPr>
              <a:t>Comparative Headlines</a:t>
            </a:r>
            <a:endParaRPr lang="en-GB" sz="1400" b="1" baseline="0">
              <a:solidFill>
                <a:sysClr val="windowText" lastClr="000000"/>
              </a:solidFill>
            </a:endParaRPr>
          </a:p>
          <a:p>
            <a:pPr algn="ctr"/>
            <a:r>
              <a:rPr lang="en-GB" sz="1100" i="1" baseline="0">
                <a:solidFill>
                  <a:schemeClr val="tx1">
                    <a:lumMod val="75000"/>
                    <a:lumOff val="25000"/>
                  </a:schemeClr>
                </a:solidFill>
              </a:rPr>
              <a:t>Compares Performance</a:t>
            </a:r>
          </a:p>
          <a:p>
            <a:pPr algn="ctr"/>
            <a:r>
              <a:rPr lang="en-GB" sz="1100" i="1" baseline="0">
                <a:solidFill>
                  <a:schemeClr val="tx1">
                    <a:lumMod val="75000"/>
                    <a:lumOff val="25000"/>
                  </a:schemeClr>
                </a:solidFill>
              </a:rPr>
              <a:t>between Two Years</a:t>
            </a:r>
          </a:p>
        </xdr:txBody>
      </xdr:sp>
      <mc:AlternateContent xmlns:mc="http://schemas.openxmlformats.org/markup-compatibility/2006" xmlns:a14="http://schemas.microsoft.com/office/drawing/2010/main">
        <mc:Choice Requires="a14">
          <xdr:pic>
            <xdr:nvPicPr>
              <xdr:cNvPr id="33" name="Picture 32">
                <a:extLst>
                  <a:ext uri="{FF2B5EF4-FFF2-40B4-BE49-F238E27FC236}">
                    <a16:creationId xmlns:a16="http://schemas.microsoft.com/office/drawing/2014/main" id="{00000000-0008-0000-0400-000021000000}"/>
                  </a:ext>
                </a:extLst>
              </xdr:cNvPr>
              <xdr:cNvPicPr>
                <a:picLocks noChangeAspect="1" noChangeArrowheads="1"/>
                <a:extLst>
                  <a:ext uri="{84589F7E-364E-4C9E-8A38-B11213B215E9}">
                    <a14:cameraTool cellRange="'COMPARATIVE HEADLINES'!$E$6:$X$36" spid="_x0000_s126838"/>
                  </a:ext>
                </a:extLst>
              </xdr:cNvPicPr>
            </xdr:nvPicPr>
            <xdr:blipFill>
              <a:blip xmlns:r="http://schemas.openxmlformats.org/officeDocument/2006/relationships" r:embed="rId5"/>
              <a:srcRect/>
              <a:stretch>
                <a:fillRect/>
              </a:stretch>
            </xdr:blipFill>
            <xdr:spPr bwMode="auto">
              <a:xfrm>
                <a:off x="1402080" y="2484121"/>
                <a:ext cx="1980000" cy="1276132"/>
              </a:xfrm>
              <a:prstGeom prst="rect">
                <a:avLst/>
              </a:prstGeom>
              <a:solidFill>
                <a:schemeClr val="bg1"/>
              </a:solidFill>
              <a:ln w="9525">
                <a:noFill/>
                <a:miter lim="800000"/>
                <a:headEnd/>
                <a:tailEnd/>
              </a:ln>
            </xdr:spPr>
          </xdr:pic>
        </mc:Choice>
        <mc:Fallback xmlns=""/>
      </mc:AlternateContent>
    </xdr:grpSp>
    <xdr:clientData/>
  </xdr:twoCellAnchor>
  <xdr:twoCellAnchor>
    <xdr:from>
      <xdr:col>6</xdr:col>
      <xdr:colOff>434340</xdr:colOff>
      <xdr:row>9</xdr:row>
      <xdr:rowOff>81915</xdr:rowOff>
    </xdr:from>
    <xdr:to>
      <xdr:col>10</xdr:col>
      <xdr:colOff>452580</xdr:colOff>
      <xdr:row>19</xdr:row>
      <xdr:rowOff>100748</xdr:rowOff>
    </xdr:to>
    <xdr:grpSp>
      <xdr:nvGrpSpPr>
        <xdr:cNvPr id="14" name="Group 13">
          <a:hlinkClick xmlns:r="http://schemas.openxmlformats.org/officeDocument/2006/relationships" r:id="rId6" tooltip="Economic Impact - the combined effect of direct expenditure by tourists and the tourism related indirect and induced expenditure from local business"/>
          <a:extLst>
            <a:ext uri="{FF2B5EF4-FFF2-40B4-BE49-F238E27FC236}">
              <a16:creationId xmlns:a16="http://schemas.microsoft.com/office/drawing/2014/main" id="{00000000-0008-0000-0400-00000E000000}"/>
            </a:ext>
          </a:extLst>
        </xdr:cNvPr>
        <xdr:cNvGrpSpPr/>
      </xdr:nvGrpSpPr>
      <xdr:grpSpPr>
        <a:xfrm>
          <a:off x="3467100" y="2116455"/>
          <a:ext cx="2029920" cy="2076233"/>
          <a:chOff x="3421380" y="1684020"/>
          <a:chExt cx="1980002" cy="2076233"/>
        </a:xfrm>
      </xdr:grpSpPr>
      <xdr:sp macro="" textlink="">
        <xdr:nvSpPr>
          <xdr:cNvPr id="36" name="TextBox 35">
            <a:extLst>
              <a:ext uri="{FF2B5EF4-FFF2-40B4-BE49-F238E27FC236}">
                <a16:creationId xmlns:a16="http://schemas.microsoft.com/office/drawing/2014/main" id="{00000000-0008-0000-0400-000024000000}"/>
              </a:ext>
            </a:extLst>
          </xdr:cNvPr>
          <xdr:cNvSpPr txBox="1"/>
        </xdr:nvSpPr>
        <xdr:spPr>
          <a:xfrm>
            <a:off x="3421380" y="1684020"/>
            <a:ext cx="1980000" cy="900000"/>
          </a:xfrm>
          <a:prstGeom prst="rect">
            <a:avLst/>
          </a:prstGeom>
          <a:solidFill>
            <a:schemeClr val="accen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tIns="36000" rIns="0" bIns="0" rtlCol="0" anchor="t" anchorCtr="0"/>
          <a:lstStyle/>
          <a:p>
            <a:pPr algn="ctr"/>
            <a:r>
              <a:rPr lang="en-GB" sz="1400" b="1">
                <a:solidFill>
                  <a:srgbClr val="FFFF00"/>
                </a:solidFill>
              </a:rPr>
              <a:t>Economic Impact</a:t>
            </a:r>
            <a:endParaRPr lang="en-GB" sz="1400" b="1" baseline="0">
              <a:solidFill>
                <a:srgbClr val="FFFF00"/>
              </a:solidFill>
            </a:endParaRPr>
          </a:p>
          <a:p>
            <a:pPr algn="ctr"/>
            <a:r>
              <a:rPr lang="en-GB" sz="1100" i="1" baseline="0">
                <a:solidFill>
                  <a:schemeClr val="bg1"/>
                </a:solidFill>
              </a:rPr>
              <a:t>Combined Direct and</a:t>
            </a:r>
          </a:p>
          <a:p>
            <a:pPr algn="ctr"/>
            <a:r>
              <a:rPr lang="en-GB" sz="1100" i="1" baseline="0">
                <a:solidFill>
                  <a:schemeClr val="bg1"/>
                </a:solidFill>
              </a:rPr>
              <a:t>Indirect Expenditure</a:t>
            </a:r>
            <a:endParaRPr lang="en-GB" sz="1100" i="1">
              <a:solidFill>
                <a:schemeClr val="bg1"/>
              </a:solidFill>
            </a:endParaRPr>
          </a:p>
        </xdr:txBody>
      </xdr:sp>
      <mc:AlternateContent xmlns:mc="http://schemas.openxmlformats.org/markup-compatibility/2006" xmlns:a14="http://schemas.microsoft.com/office/drawing/2010/main">
        <mc:Choice Requires="a14">
          <xdr:pic>
            <xdr:nvPicPr>
              <xdr:cNvPr id="37" name="Picture 36">
                <a:extLst>
                  <a:ext uri="{FF2B5EF4-FFF2-40B4-BE49-F238E27FC236}">
                    <a16:creationId xmlns:a16="http://schemas.microsoft.com/office/drawing/2014/main" id="{00000000-0008-0000-0400-000025000000}"/>
                  </a:ext>
                </a:extLst>
              </xdr:cNvPr>
              <xdr:cNvPicPr>
                <a:picLocks noChangeAspect="1" noChangeArrowheads="1"/>
                <a:extLst>
                  <a:ext uri="{84589F7E-364E-4C9E-8A38-B11213B215E9}">
                    <a14:cameraTool cellRange="'ECONOMIC IMPACT'!$E$6:$X$35" spid="_x0000_s126839"/>
                  </a:ext>
                </a:extLst>
              </xdr:cNvPicPr>
            </xdr:nvPicPr>
            <xdr:blipFill>
              <a:blip xmlns:r="http://schemas.openxmlformats.org/officeDocument/2006/relationships" r:embed="rId7"/>
              <a:srcRect/>
              <a:stretch>
                <a:fillRect/>
              </a:stretch>
            </xdr:blipFill>
            <xdr:spPr bwMode="auto">
              <a:xfrm>
                <a:off x="3421382" y="2484121"/>
                <a:ext cx="1980000" cy="1276132"/>
              </a:xfrm>
              <a:prstGeom prst="rect">
                <a:avLst/>
              </a:prstGeom>
              <a:solidFill>
                <a:schemeClr val="bg1"/>
              </a:solidFill>
              <a:ln w="9525">
                <a:noFill/>
                <a:miter lim="800000"/>
                <a:headEnd/>
                <a:tailEnd/>
              </a:ln>
            </xdr:spPr>
          </xdr:pic>
        </mc:Choice>
        <mc:Fallback xmlns=""/>
      </mc:AlternateContent>
    </xdr:grpSp>
    <xdr:clientData/>
  </xdr:twoCellAnchor>
  <xdr:twoCellAnchor>
    <xdr:from>
      <xdr:col>15</xdr:col>
      <xdr:colOff>236220</xdr:colOff>
      <xdr:row>9</xdr:row>
      <xdr:rowOff>83820</xdr:rowOff>
    </xdr:from>
    <xdr:to>
      <xdr:col>19</xdr:col>
      <xdr:colOff>254460</xdr:colOff>
      <xdr:row>19</xdr:row>
      <xdr:rowOff>102653</xdr:rowOff>
    </xdr:to>
    <xdr:grpSp>
      <xdr:nvGrpSpPr>
        <xdr:cNvPr id="52" name="Group 51">
          <a:hlinkClick xmlns:r="http://schemas.openxmlformats.org/officeDocument/2006/relationships" r:id="rId8" tooltip="Visitor Days - the number of nights spent by staying visitors and the number of days spent by day visitors to the area"/>
          <a:extLst>
            <a:ext uri="{FF2B5EF4-FFF2-40B4-BE49-F238E27FC236}">
              <a16:creationId xmlns:a16="http://schemas.microsoft.com/office/drawing/2014/main" id="{00000000-0008-0000-0400-000034000000}"/>
            </a:ext>
          </a:extLst>
        </xdr:cNvPr>
        <xdr:cNvGrpSpPr/>
      </xdr:nvGrpSpPr>
      <xdr:grpSpPr>
        <a:xfrm>
          <a:off x="7795260" y="2118360"/>
          <a:ext cx="2029920" cy="2076233"/>
          <a:chOff x="7475220" y="1676400"/>
          <a:chExt cx="1980002" cy="2076233"/>
        </a:xfrm>
      </xdr:grpSpPr>
      <xdr:sp macro="" textlink="">
        <xdr:nvSpPr>
          <xdr:cNvPr id="46" name="TextBox 45">
            <a:extLst>
              <a:ext uri="{FF2B5EF4-FFF2-40B4-BE49-F238E27FC236}">
                <a16:creationId xmlns:a16="http://schemas.microsoft.com/office/drawing/2014/main" id="{00000000-0008-0000-0400-00002E000000}"/>
              </a:ext>
            </a:extLst>
          </xdr:cNvPr>
          <xdr:cNvSpPr txBox="1"/>
        </xdr:nvSpPr>
        <xdr:spPr>
          <a:xfrm>
            <a:off x="7475220" y="1676400"/>
            <a:ext cx="1980000" cy="900000"/>
          </a:xfrm>
          <a:prstGeom prst="rect">
            <a:avLst/>
          </a:prstGeom>
          <a:solidFill>
            <a:srgbClr val="FF0000"/>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tIns="36000" rIns="0" bIns="0" rtlCol="0" anchor="t" anchorCtr="0"/>
          <a:lstStyle/>
          <a:p>
            <a:pPr algn="ctr"/>
            <a:r>
              <a:rPr lang="en-GB" sz="1400" b="1">
                <a:solidFill>
                  <a:srgbClr val="FFFF00"/>
                </a:solidFill>
              </a:rPr>
              <a:t>Visitor</a:t>
            </a:r>
            <a:r>
              <a:rPr lang="en-GB" sz="1400" b="1" baseline="0">
                <a:solidFill>
                  <a:srgbClr val="FFFF00"/>
                </a:solidFill>
              </a:rPr>
              <a:t> Days</a:t>
            </a:r>
          </a:p>
          <a:p>
            <a:pPr algn="ctr"/>
            <a:r>
              <a:rPr lang="en-GB" sz="1100" i="1" baseline="0">
                <a:solidFill>
                  <a:schemeClr val="bg1"/>
                </a:solidFill>
              </a:rPr>
              <a:t>The Number of Days / Nights Spent by Visitors to the Area</a:t>
            </a:r>
            <a:endParaRPr lang="en-GB" sz="1100" i="1">
              <a:solidFill>
                <a:schemeClr val="bg1"/>
              </a:solidFill>
            </a:endParaRPr>
          </a:p>
        </xdr:txBody>
      </xdr:sp>
      <mc:AlternateContent xmlns:mc="http://schemas.openxmlformats.org/markup-compatibility/2006" xmlns:a14="http://schemas.microsoft.com/office/drawing/2010/main">
        <mc:Choice Requires="a14">
          <xdr:pic>
            <xdr:nvPicPr>
              <xdr:cNvPr id="47" name="Picture 46">
                <a:extLst>
                  <a:ext uri="{FF2B5EF4-FFF2-40B4-BE49-F238E27FC236}">
                    <a16:creationId xmlns:a16="http://schemas.microsoft.com/office/drawing/2014/main" id="{00000000-0008-0000-0400-00002F000000}"/>
                  </a:ext>
                </a:extLst>
              </xdr:cNvPr>
              <xdr:cNvPicPr>
                <a:picLocks noChangeAspect="1" noChangeArrowheads="1"/>
                <a:extLst>
                  <a:ext uri="{84589F7E-364E-4C9E-8A38-B11213B215E9}">
                    <a14:cameraTool cellRange="'VISITOR DAYS'!$E$6:$X$35" spid="_x0000_s126840"/>
                  </a:ext>
                </a:extLst>
              </xdr:cNvPicPr>
            </xdr:nvPicPr>
            <xdr:blipFill>
              <a:blip xmlns:r="http://schemas.openxmlformats.org/officeDocument/2006/relationships" r:embed="rId9"/>
              <a:srcRect/>
              <a:stretch>
                <a:fillRect/>
              </a:stretch>
            </xdr:blipFill>
            <xdr:spPr bwMode="auto">
              <a:xfrm>
                <a:off x="7475222" y="2476501"/>
                <a:ext cx="1980000" cy="1276132"/>
              </a:xfrm>
              <a:prstGeom prst="rect">
                <a:avLst/>
              </a:prstGeom>
              <a:solidFill>
                <a:schemeClr val="bg1"/>
              </a:solidFill>
              <a:ln w="9525">
                <a:noFill/>
                <a:miter lim="800000"/>
                <a:headEnd/>
                <a:tailEnd/>
              </a:ln>
            </xdr:spPr>
          </xdr:pic>
        </mc:Choice>
        <mc:Fallback xmlns=""/>
      </mc:AlternateContent>
    </xdr:grpSp>
    <xdr:clientData/>
  </xdr:twoCellAnchor>
  <xdr:twoCellAnchor>
    <xdr:from>
      <xdr:col>11</xdr:col>
      <xdr:colOff>99060</xdr:colOff>
      <xdr:row>9</xdr:row>
      <xdr:rowOff>91439</xdr:rowOff>
    </xdr:from>
    <xdr:to>
      <xdr:col>15</xdr:col>
      <xdr:colOff>117300</xdr:colOff>
      <xdr:row>19</xdr:row>
      <xdr:rowOff>110271</xdr:rowOff>
    </xdr:to>
    <xdr:grpSp>
      <xdr:nvGrpSpPr>
        <xdr:cNvPr id="34" name="Group 33">
          <a:hlinkClick xmlns:r="http://schemas.openxmlformats.org/officeDocument/2006/relationships" r:id="rId10" tooltip="Visitor Numbers - the number of tourism trips or visits made by individuals to the area"/>
          <a:extLst>
            <a:ext uri="{FF2B5EF4-FFF2-40B4-BE49-F238E27FC236}">
              <a16:creationId xmlns:a16="http://schemas.microsoft.com/office/drawing/2014/main" id="{00000000-0008-0000-0400-000022000000}"/>
            </a:ext>
          </a:extLst>
        </xdr:cNvPr>
        <xdr:cNvGrpSpPr/>
      </xdr:nvGrpSpPr>
      <xdr:grpSpPr>
        <a:xfrm>
          <a:off x="5646420" y="2125979"/>
          <a:ext cx="2029920" cy="2076232"/>
          <a:chOff x="5448300" y="1684020"/>
          <a:chExt cx="1980002" cy="2076233"/>
        </a:xfrm>
      </xdr:grpSpPr>
      <xdr:sp macro="" textlink="">
        <xdr:nvSpPr>
          <xdr:cNvPr id="48" name="TextBox 47">
            <a:extLst>
              <a:ext uri="{FF2B5EF4-FFF2-40B4-BE49-F238E27FC236}">
                <a16:creationId xmlns:a16="http://schemas.microsoft.com/office/drawing/2014/main" id="{00000000-0008-0000-0400-000030000000}"/>
              </a:ext>
            </a:extLst>
          </xdr:cNvPr>
          <xdr:cNvSpPr txBox="1"/>
        </xdr:nvSpPr>
        <xdr:spPr>
          <a:xfrm>
            <a:off x="5448300" y="1684020"/>
            <a:ext cx="1980000" cy="900000"/>
          </a:xfrm>
          <a:prstGeom prst="rect">
            <a:avLst/>
          </a:prstGeom>
          <a:solidFill>
            <a:srgbClr val="00B050"/>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tIns="36000" rIns="0" bIns="0" rtlCol="0" anchor="t" anchorCtr="0"/>
          <a:lstStyle/>
          <a:p>
            <a:pPr algn="ctr"/>
            <a:r>
              <a:rPr lang="en-GB" sz="1400" b="1">
                <a:solidFill>
                  <a:srgbClr val="FFFF00"/>
                </a:solidFill>
              </a:rPr>
              <a:t>Visitor</a:t>
            </a:r>
            <a:r>
              <a:rPr lang="en-GB" sz="1400" b="1" baseline="0">
                <a:solidFill>
                  <a:srgbClr val="FFFF00"/>
                </a:solidFill>
              </a:rPr>
              <a:t> Numbers</a:t>
            </a:r>
          </a:p>
          <a:p>
            <a:pPr algn="ctr"/>
            <a:r>
              <a:rPr lang="en-GB" sz="1100" i="1" baseline="0">
                <a:solidFill>
                  <a:schemeClr val="bg1"/>
                </a:solidFill>
              </a:rPr>
              <a:t>The Number of Tourism Visits</a:t>
            </a:r>
          </a:p>
          <a:p>
            <a:pPr algn="ctr"/>
            <a:r>
              <a:rPr lang="en-GB" sz="1100" i="1" baseline="0">
                <a:solidFill>
                  <a:schemeClr val="bg1"/>
                </a:solidFill>
              </a:rPr>
              <a:t>to the Area</a:t>
            </a:r>
            <a:endParaRPr lang="en-GB" sz="1100">
              <a:solidFill>
                <a:srgbClr val="FFFF00"/>
              </a:solidFill>
              <a:effectLst/>
            </a:endParaRPr>
          </a:p>
          <a:p>
            <a:pPr algn="ctr"/>
            <a:endParaRPr lang="en-GB" sz="900" i="1">
              <a:solidFill>
                <a:schemeClr val="bg1"/>
              </a:solidFill>
            </a:endParaRPr>
          </a:p>
        </xdr:txBody>
      </xdr:sp>
      <mc:AlternateContent xmlns:mc="http://schemas.openxmlformats.org/markup-compatibility/2006" xmlns:a14="http://schemas.microsoft.com/office/drawing/2010/main">
        <mc:Choice Requires="a14">
          <xdr:pic>
            <xdr:nvPicPr>
              <xdr:cNvPr id="49" name="Picture 48">
                <a:extLst>
                  <a:ext uri="{FF2B5EF4-FFF2-40B4-BE49-F238E27FC236}">
                    <a16:creationId xmlns:a16="http://schemas.microsoft.com/office/drawing/2014/main" id="{00000000-0008-0000-0400-000031000000}"/>
                  </a:ext>
                </a:extLst>
              </xdr:cNvPr>
              <xdr:cNvPicPr>
                <a:picLocks noChangeAspect="1" noChangeArrowheads="1"/>
                <a:extLst>
                  <a:ext uri="{84589F7E-364E-4C9E-8A38-B11213B215E9}">
                    <a14:cameraTool cellRange="'VISITOR NUMBERS'!$E$6:$X$35" spid="_x0000_s126841"/>
                  </a:ext>
                </a:extLst>
              </xdr:cNvPicPr>
            </xdr:nvPicPr>
            <xdr:blipFill>
              <a:blip xmlns:r="http://schemas.openxmlformats.org/officeDocument/2006/relationships" r:embed="rId11"/>
              <a:srcRect/>
              <a:stretch>
                <a:fillRect/>
              </a:stretch>
            </xdr:blipFill>
            <xdr:spPr bwMode="auto">
              <a:xfrm>
                <a:off x="5448302" y="2484121"/>
                <a:ext cx="1980000" cy="1276132"/>
              </a:xfrm>
              <a:prstGeom prst="rect">
                <a:avLst/>
              </a:prstGeom>
              <a:solidFill>
                <a:schemeClr val="bg1"/>
              </a:solidFill>
              <a:ln w="9525">
                <a:noFill/>
                <a:miter lim="800000"/>
                <a:headEnd/>
                <a:tailEnd/>
              </a:ln>
            </xdr:spPr>
          </xdr:pic>
        </mc:Choice>
        <mc:Fallback xmlns=""/>
      </mc:AlternateContent>
    </xdr:grpSp>
    <xdr:clientData/>
  </xdr:twoCellAnchor>
  <xdr:twoCellAnchor>
    <xdr:from>
      <xdr:col>19</xdr:col>
      <xdr:colOff>365758</xdr:colOff>
      <xdr:row>9</xdr:row>
      <xdr:rowOff>83820</xdr:rowOff>
    </xdr:from>
    <xdr:to>
      <xdr:col>23</xdr:col>
      <xdr:colOff>391618</xdr:colOff>
      <xdr:row>19</xdr:row>
      <xdr:rowOff>102653</xdr:rowOff>
    </xdr:to>
    <xdr:grpSp>
      <xdr:nvGrpSpPr>
        <xdr:cNvPr id="53" name="Group 52">
          <a:hlinkClick xmlns:r="http://schemas.openxmlformats.org/officeDocument/2006/relationships" r:id="rId12" tooltip="Employment - Full Time Equivalent jobs supported by tourism activity both 'direct employment' in businesses supplying goods and services to visitors and 'indirect' through the local supply chain"/>
          <a:extLst>
            <a:ext uri="{FF2B5EF4-FFF2-40B4-BE49-F238E27FC236}">
              <a16:creationId xmlns:a16="http://schemas.microsoft.com/office/drawing/2014/main" id="{00000000-0008-0000-0400-000035000000}"/>
            </a:ext>
          </a:extLst>
        </xdr:cNvPr>
        <xdr:cNvGrpSpPr/>
      </xdr:nvGrpSpPr>
      <xdr:grpSpPr>
        <a:xfrm>
          <a:off x="9936478" y="2118360"/>
          <a:ext cx="2037540" cy="2076233"/>
          <a:chOff x="9494232" y="1676400"/>
          <a:chExt cx="1987910" cy="2076233"/>
        </a:xfrm>
      </xdr:grpSpPr>
      <xdr:sp macro="" textlink="">
        <xdr:nvSpPr>
          <xdr:cNvPr id="50" name="TextBox 49">
            <a:extLst>
              <a:ext uri="{FF2B5EF4-FFF2-40B4-BE49-F238E27FC236}">
                <a16:creationId xmlns:a16="http://schemas.microsoft.com/office/drawing/2014/main" id="{00000000-0008-0000-0400-000032000000}"/>
              </a:ext>
            </a:extLst>
          </xdr:cNvPr>
          <xdr:cNvSpPr txBox="1"/>
        </xdr:nvSpPr>
        <xdr:spPr>
          <a:xfrm>
            <a:off x="9494232" y="1676400"/>
            <a:ext cx="1980000" cy="900000"/>
          </a:xfrm>
          <a:prstGeom prst="rect">
            <a:avLst/>
          </a:prstGeom>
          <a:solidFill>
            <a:schemeClr val="accent6">
              <a:lumMod val="40000"/>
              <a:lumOff val="6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tIns="36000" rIns="0" bIns="0" rtlCol="0" anchor="t" anchorCtr="0"/>
          <a:lstStyle/>
          <a:p>
            <a:pPr algn="ctr"/>
            <a:r>
              <a:rPr lang="en-GB" sz="1400" b="1">
                <a:solidFill>
                  <a:sysClr val="windowText" lastClr="000000"/>
                </a:solidFill>
              </a:rPr>
              <a:t>Employment Supported</a:t>
            </a:r>
            <a:endParaRPr lang="en-GB" sz="1400" b="1" baseline="0">
              <a:solidFill>
                <a:sysClr val="windowText" lastClr="000000"/>
              </a:solidFill>
            </a:endParaRPr>
          </a:p>
          <a:p>
            <a:pPr algn="ctr"/>
            <a:r>
              <a:rPr lang="en-GB" sz="1100" i="1" baseline="0">
                <a:solidFill>
                  <a:schemeClr val="tx1">
                    <a:lumMod val="65000"/>
                    <a:lumOff val="35000"/>
                  </a:schemeClr>
                </a:solidFill>
              </a:rPr>
              <a:t>The Number of Employees (FTEs) Supported Directly and Indirectly by Tourism</a:t>
            </a:r>
          </a:p>
        </xdr:txBody>
      </xdr:sp>
      <mc:AlternateContent xmlns:mc="http://schemas.openxmlformats.org/markup-compatibility/2006" xmlns:a14="http://schemas.microsoft.com/office/drawing/2010/main">
        <mc:Choice Requires="a14">
          <xdr:pic>
            <xdr:nvPicPr>
              <xdr:cNvPr id="51" name="Picture 50">
                <a:extLst>
                  <a:ext uri="{FF2B5EF4-FFF2-40B4-BE49-F238E27FC236}">
                    <a16:creationId xmlns:a16="http://schemas.microsoft.com/office/drawing/2014/main" id="{00000000-0008-0000-0400-000033000000}"/>
                  </a:ext>
                </a:extLst>
              </xdr:cNvPr>
              <xdr:cNvPicPr>
                <a:picLocks noChangeAspect="1" noChangeArrowheads="1"/>
                <a:extLst>
                  <a:ext uri="{84589F7E-364E-4C9E-8A38-B11213B215E9}">
                    <a14:cameraTool cellRange="EMPLOYMENT!$E$6:$X$35" spid="_x0000_s126842"/>
                  </a:ext>
                </a:extLst>
              </xdr:cNvPicPr>
            </xdr:nvPicPr>
            <xdr:blipFill>
              <a:blip xmlns:r="http://schemas.openxmlformats.org/officeDocument/2006/relationships" r:embed="rId13"/>
              <a:srcRect/>
              <a:stretch>
                <a:fillRect/>
              </a:stretch>
            </xdr:blipFill>
            <xdr:spPr bwMode="auto">
              <a:xfrm>
                <a:off x="9502142" y="2476501"/>
                <a:ext cx="1980000" cy="1276132"/>
              </a:xfrm>
              <a:prstGeom prst="rect">
                <a:avLst/>
              </a:prstGeom>
              <a:solidFill>
                <a:schemeClr val="bg1"/>
              </a:solidFill>
              <a:ln w="9525">
                <a:noFill/>
                <a:miter lim="800000"/>
                <a:headEnd/>
                <a:tailEnd/>
              </a:ln>
            </xdr:spPr>
          </xdr:pic>
        </mc:Choice>
        <mc:Fallback xmlns=""/>
      </mc:AlternateContent>
    </xdr:grpSp>
    <xdr:clientData/>
  </xdr:twoCellAnchor>
  <xdr:twoCellAnchor>
    <xdr:from>
      <xdr:col>7</xdr:col>
      <xdr:colOff>243840</xdr:colOff>
      <xdr:row>1</xdr:row>
      <xdr:rowOff>129540</xdr:rowOff>
    </xdr:from>
    <xdr:to>
      <xdr:col>22</xdr:col>
      <xdr:colOff>190500</xdr:colOff>
      <xdr:row>2</xdr:row>
      <xdr:rowOff>228600</xdr:rowOff>
    </xdr:to>
    <xdr:sp macro="" textlink="">
      <xdr:nvSpPr>
        <xdr:cNvPr id="58" name="Rectangle 57">
          <a:extLst>
            <a:ext uri="{FF2B5EF4-FFF2-40B4-BE49-F238E27FC236}">
              <a16:creationId xmlns:a16="http://schemas.microsoft.com/office/drawing/2014/main" id="{00000000-0008-0000-0400-00003A000000}"/>
            </a:ext>
          </a:extLst>
        </xdr:cNvPr>
        <xdr:cNvSpPr/>
      </xdr:nvSpPr>
      <xdr:spPr>
        <a:xfrm>
          <a:off x="3749040" y="129540"/>
          <a:ext cx="7033260" cy="304800"/>
        </a:xfrm>
        <a:prstGeom prst="rect">
          <a:avLst/>
        </a:prstGeom>
        <a:noFill/>
        <a:ln>
          <a:noFill/>
        </a:ln>
        <a:effectLst>
          <a:outerShdw blurRad="63500" sx="102000" sy="102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lIns="36000" tIns="36000" rIns="36000" bIns="36000" rtlCol="0" anchor="ctr"/>
        <a:lstStyle/>
        <a:p>
          <a:pPr algn="r"/>
          <a:r>
            <a:rPr lang="en-GB" sz="1000" b="1">
              <a:solidFill>
                <a:schemeClr val="tx1">
                  <a:lumMod val="65000"/>
                  <a:lumOff val="35000"/>
                </a:schemeClr>
              </a:solidFill>
            </a:rPr>
            <a:t>Pressing this on-screen "Home" button on</a:t>
          </a:r>
          <a:r>
            <a:rPr lang="en-GB" sz="1000" b="1" baseline="0">
              <a:solidFill>
                <a:schemeClr val="tx1">
                  <a:lumMod val="65000"/>
                  <a:lumOff val="35000"/>
                </a:schemeClr>
              </a:solidFill>
            </a:rPr>
            <a:t> any sheet of the report will bring you back to this navigation page</a:t>
          </a:r>
          <a:endParaRPr lang="en-GB" sz="1000" b="0" i="1" baseline="0">
            <a:solidFill>
              <a:schemeClr val="tx1">
                <a:lumMod val="65000"/>
                <a:lumOff val="35000"/>
              </a:schemeClr>
            </a:solidFill>
          </a:endParaRPr>
        </a:p>
      </xdr:txBody>
    </xdr:sp>
    <xdr:clientData fPrintsWithSheet="0"/>
  </xdr:twoCellAnchor>
  <xdr:twoCellAnchor>
    <xdr:from>
      <xdr:col>22</xdr:col>
      <xdr:colOff>240030</xdr:colOff>
      <xdr:row>2</xdr:row>
      <xdr:rowOff>49530</xdr:rowOff>
    </xdr:from>
    <xdr:to>
      <xdr:col>23</xdr:col>
      <xdr:colOff>198120</xdr:colOff>
      <xdr:row>2</xdr:row>
      <xdr:rowOff>320040</xdr:rowOff>
    </xdr:to>
    <xdr:sp macro="" textlink="">
      <xdr:nvSpPr>
        <xdr:cNvPr id="54" name="Bent Arrow 53">
          <a:extLst>
            <a:ext uri="{FF2B5EF4-FFF2-40B4-BE49-F238E27FC236}">
              <a16:creationId xmlns:a16="http://schemas.microsoft.com/office/drawing/2014/main" id="{00000000-0008-0000-0400-000036000000}"/>
            </a:ext>
          </a:extLst>
        </xdr:cNvPr>
        <xdr:cNvSpPr/>
      </xdr:nvSpPr>
      <xdr:spPr>
        <a:xfrm rot="5400000">
          <a:off x="10911840" y="175260"/>
          <a:ext cx="270510" cy="430530"/>
        </a:xfrm>
        <a:prstGeom prst="bentArrow">
          <a:avLst/>
        </a:prstGeom>
        <a:solidFill>
          <a:schemeClr val="bg1">
            <a:lumMod val="85000"/>
          </a:schemeClr>
        </a:solidFill>
        <a:ln w="22225">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chemeClr val="tx1"/>
            </a:solidFill>
          </a:endParaRPr>
        </a:p>
      </xdr:txBody>
    </xdr:sp>
    <xdr:clientData/>
  </xdr:twoCellAnchor>
  <xdr:twoCellAnchor>
    <xdr:from>
      <xdr:col>4</xdr:col>
      <xdr:colOff>91438</xdr:colOff>
      <xdr:row>21</xdr:row>
      <xdr:rowOff>91440</xdr:rowOff>
    </xdr:from>
    <xdr:to>
      <xdr:col>6</xdr:col>
      <xdr:colOff>307798</xdr:colOff>
      <xdr:row>31</xdr:row>
      <xdr:rowOff>110273</xdr:rowOff>
    </xdr:to>
    <xdr:grpSp>
      <xdr:nvGrpSpPr>
        <xdr:cNvPr id="7" name="Group 6">
          <a:hlinkClick xmlns:r="http://schemas.openxmlformats.org/officeDocument/2006/relationships" r:id="rId14" tooltip="Key Measures - Economic Impact, Tourist Numbers, Tourist Days and Employment for the Trend Period"/>
          <a:extLst>
            <a:ext uri="{FF2B5EF4-FFF2-40B4-BE49-F238E27FC236}">
              <a16:creationId xmlns:a16="http://schemas.microsoft.com/office/drawing/2014/main" id="{00000000-0008-0000-0400-000007000000}"/>
            </a:ext>
          </a:extLst>
        </xdr:cNvPr>
        <xdr:cNvGrpSpPr/>
      </xdr:nvGrpSpPr>
      <xdr:grpSpPr>
        <a:xfrm>
          <a:off x="1432558" y="4594860"/>
          <a:ext cx="1908000" cy="2076233"/>
          <a:chOff x="1432558" y="4594860"/>
          <a:chExt cx="1908000" cy="2076233"/>
        </a:xfrm>
      </xdr:grpSpPr>
      <xdr:sp macro="" textlink="">
        <xdr:nvSpPr>
          <xdr:cNvPr id="61" name="TextBox 60">
            <a:extLst>
              <a:ext uri="{FF2B5EF4-FFF2-40B4-BE49-F238E27FC236}">
                <a16:creationId xmlns:a16="http://schemas.microsoft.com/office/drawing/2014/main" id="{00000000-0008-0000-0400-00003D000000}"/>
              </a:ext>
            </a:extLst>
          </xdr:cNvPr>
          <xdr:cNvSpPr txBox="1"/>
        </xdr:nvSpPr>
        <xdr:spPr>
          <a:xfrm>
            <a:off x="1432558" y="4594860"/>
            <a:ext cx="1907998" cy="900000"/>
          </a:xfrm>
          <a:prstGeom prst="rect">
            <a:avLst/>
          </a:prstGeom>
          <a:solidFill>
            <a:schemeClr val="accent4"/>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tIns="36000" rIns="0" bIns="0" rtlCol="0" anchor="t" anchorCtr="0"/>
          <a:lstStyle/>
          <a:p>
            <a:pPr algn="ctr"/>
            <a:r>
              <a:rPr lang="en-GB" sz="1400" b="1">
                <a:solidFill>
                  <a:srgbClr val="FFFF00"/>
                </a:solidFill>
              </a:rPr>
              <a:t>Key Measures</a:t>
            </a:r>
            <a:endParaRPr lang="en-GB" sz="1400" b="1" baseline="0">
              <a:solidFill>
                <a:srgbClr val="FFFF00"/>
              </a:solidFill>
            </a:endParaRPr>
          </a:p>
          <a:p>
            <a:pPr algn="ctr"/>
            <a:r>
              <a:rPr lang="en-GB" sz="1100" i="1" baseline="0">
                <a:solidFill>
                  <a:schemeClr val="bg1"/>
                </a:solidFill>
              </a:rPr>
              <a:t>The Four Key STEAM Impact Measures for the Trend Period</a:t>
            </a:r>
            <a:endParaRPr lang="en-GB" sz="1100" i="1">
              <a:solidFill>
                <a:schemeClr val="bg1"/>
              </a:solidFill>
            </a:endParaRPr>
          </a:p>
        </xdr:txBody>
      </xdr:sp>
      <mc:AlternateContent xmlns:mc="http://schemas.openxmlformats.org/markup-compatibility/2006" xmlns:a14="http://schemas.microsoft.com/office/drawing/2010/main">
        <mc:Choice Requires="a14">
          <xdr:pic>
            <xdr:nvPicPr>
              <xdr:cNvPr id="62" name="Picture 61">
                <a:extLst>
                  <a:ext uri="{FF2B5EF4-FFF2-40B4-BE49-F238E27FC236}">
                    <a16:creationId xmlns:a16="http://schemas.microsoft.com/office/drawing/2014/main" id="{00000000-0008-0000-0400-00003E000000}"/>
                  </a:ext>
                </a:extLst>
              </xdr:cNvPr>
              <xdr:cNvPicPr>
                <a:picLocks noChangeAspect="1" noChangeArrowheads="1"/>
                <a:extLst>
                  <a:ext uri="{84589F7E-364E-4C9E-8A38-B11213B215E9}">
                    <a14:cameraTool cellRange="'KEY MEASURES'!$E$6:$X$38" spid="_x0000_s126843"/>
                  </a:ext>
                </a:extLst>
              </xdr:cNvPicPr>
            </xdr:nvPicPr>
            <xdr:blipFill>
              <a:blip xmlns:r="http://schemas.openxmlformats.org/officeDocument/2006/relationships" r:embed="rId15"/>
              <a:srcRect/>
              <a:stretch>
                <a:fillRect/>
              </a:stretch>
            </xdr:blipFill>
            <xdr:spPr bwMode="auto">
              <a:xfrm>
                <a:off x="1432560" y="5394961"/>
                <a:ext cx="1907998" cy="1276132"/>
              </a:xfrm>
              <a:prstGeom prst="rect">
                <a:avLst/>
              </a:prstGeom>
              <a:solidFill>
                <a:schemeClr val="bg1"/>
              </a:solidFill>
              <a:ln w="9525">
                <a:noFill/>
                <a:miter lim="800000"/>
                <a:headEnd/>
                <a:tailEnd/>
              </a:ln>
            </xdr:spPr>
          </xdr:pic>
        </mc:Choice>
        <mc:Fallback xmlns=""/>
      </mc:AlternateContent>
    </xdr:grpSp>
    <xdr:clientData/>
  </xdr:twoCellAnchor>
  <xdr:twoCellAnchor>
    <xdr:from>
      <xdr:col>22</xdr:col>
      <xdr:colOff>190500</xdr:colOff>
      <xdr:row>5</xdr:row>
      <xdr:rowOff>68581</xdr:rowOff>
    </xdr:from>
    <xdr:to>
      <xdr:col>23</xdr:col>
      <xdr:colOff>194012</xdr:colOff>
      <xdr:row>6</xdr:row>
      <xdr:rowOff>160021</xdr:rowOff>
    </xdr:to>
    <xdr:pic>
      <xdr:nvPicPr>
        <xdr:cNvPr id="63" name="Picture 62">
          <a:extLst>
            <a:ext uri="{FF2B5EF4-FFF2-40B4-BE49-F238E27FC236}">
              <a16:creationId xmlns:a16="http://schemas.microsoft.com/office/drawing/2014/main" id="{00000000-0008-0000-0400-00003F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0782300" y="1280161"/>
          <a:ext cx="475952" cy="297180"/>
        </a:xfrm>
        <a:prstGeom prst="rect">
          <a:avLst/>
        </a:prstGeom>
        <a:noFill/>
      </xdr:spPr>
    </xdr:pic>
    <xdr:clientData/>
  </xdr:twoCellAnchor>
  <xdr:twoCellAnchor>
    <xdr:from>
      <xdr:col>7</xdr:col>
      <xdr:colOff>411480</xdr:colOff>
      <xdr:row>3</xdr:row>
      <xdr:rowOff>304800</xdr:rowOff>
    </xdr:from>
    <xdr:to>
      <xdr:col>9</xdr:col>
      <xdr:colOff>419100</xdr:colOff>
      <xdr:row>4</xdr:row>
      <xdr:rowOff>329520</xdr:rowOff>
    </xdr:to>
    <xdr:sp macro="" textlink="">
      <xdr:nvSpPr>
        <xdr:cNvPr id="66" name="Rectangle 65">
          <a:extLst>
            <a:ext uri="{FF2B5EF4-FFF2-40B4-BE49-F238E27FC236}">
              <a16:creationId xmlns:a16="http://schemas.microsoft.com/office/drawing/2014/main" id="{00000000-0008-0000-0400-000042000000}"/>
            </a:ext>
          </a:extLst>
        </xdr:cNvPr>
        <xdr:cNvSpPr/>
      </xdr:nvSpPr>
      <xdr:spPr>
        <a:xfrm>
          <a:off x="3916680" y="845820"/>
          <a:ext cx="952500" cy="360000"/>
        </a:xfrm>
        <a:prstGeom prst="rect">
          <a:avLst/>
        </a:prstGeom>
        <a:noFill/>
        <a:ln>
          <a:noFill/>
        </a:ln>
        <a:effectLst>
          <a:outerShdw blurRad="63500" sx="101000" sy="101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lIns="36000" tIns="36000" rIns="36000" bIns="36000" rtlCol="0" anchor="ctr"/>
        <a:lstStyle/>
        <a:p>
          <a:pPr algn="ctr"/>
          <a:r>
            <a:rPr lang="en-GB" sz="900" b="1">
              <a:solidFill>
                <a:schemeClr val="bg1"/>
              </a:solidFill>
            </a:rPr>
            <a:t>VISITOR</a:t>
          </a:r>
        </a:p>
        <a:p>
          <a:pPr algn="ctr"/>
          <a:r>
            <a:rPr lang="en-GB" sz="900" b="1">
              <a:solidFill>
                <a:schemeClr val="bg1"/>
              </a:solidFill>
            </a:rPr>
            <a:t>TYPE</a:t>
          </a:r>
        </a:p>
      </xdr:txBody>
    </xdr:sp>
    <xdr:clientData fPrintsWithSheet="0"/>
  </xdr:twoCellAnchor>
  <mc:AlternateContent xmlns:mc="http://schemas.openxmlformats.org/markup-compatibility/2006">
    <mc:Choice xmlns:a14="http://schemas.microsoft.com/office/drawing/2010/main" Requires="a14">
      <xdr:twoCellAnchor editAs="oneCell">
        <xdr:from>
          <xdr:col>9</xdr:col>
          <xdr:colOff>175260</xdr:colOff>
          <xdr:row>4</xdr:row>
          <xdr:rowOff>22860</xdr:rowOff>
        </xdr:from>
        <xdr:to>
          <xdr:col>13</xdr:col>
          <xdr:colOff>152400</xdr:colOff>
          <xdr:row>4</xdr:row>
          <xdr:rowOff>297180</xdr:rowOff>
        </xdr:to>
        <xdr:sp macro="" textlink="">
          <xdr:nvSpPr>
            <xdr:cNvPr id="126009" name="Drop Down 57" hidden="1">
              <a:extLst>
                <a:ext uri="{63B3BB69-23CF-44E3-9099-C40C66FF867C}">
                  <a14:compatExt spid="_x0000_s126009"/>
                </a:ext>
                <a:ext uri="{FF2B5EF4-FFF2-40B4-BE49-F238E27FC236}">
                  <a16:creationId xmlns:a16="http://schemas.microsoft.com/office/drawing/2014/main" id="{00000000-0008-0000-0400-000039E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4</xdr:col>
      <xdr:colOff>83820</xdr:colOff>
      <xdr:row>33</xdr:row>
      <xdr:rowOff>60960</xdr:rowOff>
    </xdr:from>
    <xdr:to>
      <xdr:col>6</xdr:col>
      <xdr:colOff>300178</xdr:colOff>
      <xdr:row>35</xdr:row>
      <xdr:rowOff>129540</xdr:rowOff>
    </xdr:to>
    <xdr:grpSp>
      <xdr:nvGrpSpPr>
        <xdr:cNvPr id="15" name="Group 14">
          <a:extLst>
            <a:ext uri="{FF2B5EF4-FFF2-40B4-BE49-F238E27FC236}">
              <a16:creationId xmlns:a16="http://schemas.microsoft.com/office/drawing/2014/main" id="{00000000-0008-0000-0400-00000F000000}"/>
            </a:ext>
          </a:extLst>
        </xdr:cNvPr>
        <xdr:cNvGrpSpPr/>
      </xdr:nvGrpSpPr>
      <xdr:grpSpPr>
        <a:xfrm>
          <a:off x="1424940" y="7033260"/>
          <a:ext cx="1907998" cy="480060"/>
          <a:chOff x="1424940" y="7033260"/>
          <a:chExt cx="1907998" cy="480060"/>
        </a:xfrm>
      </xdr:grpSpPr>
      <xdr:sp macro="" textlink="">
        <xdr:nvSpPr>
          <xdr:cNvPr id="73" name="TextBox 72">
            <a:hlinkClick xmlns:r="http://schemas.openxmlformats.org/officeDocument/2006/relationships" r:id="rId17" tooltip="User Guide - Basic Information about this Report and Its Operation"/>
            <a:extLst>
              <a:ext uri="{FF2B5EF4-FFF2-40B4-BE49-F238E27FC236}">
                <a16:creationId xmlns:a16="http://schemas.microsoft.com/office/drawing/2014/main" id="{00000000-0008-0000-0400-000049000000}"/>
              </a:ext>
            </a:extLst>
          </xdr:cNvPr>
          <xdr:cNvSpPr txBox="1"/>
        </xdr:nvSpPr>
        <xdr:spPr>
          <a:xfrm>
            <a:off x="1424940" y="7033260"/>
            <a:ext cx="1907998" cy="480060"/>
          </a:xfrm>
          <a:prstGeom prst="rect">
            <a:avLst/>
          </a:prstGeom>
          <a:solidFill>
            <a:srgbClr val="00B0F0"/>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360000" tIns="36000" rIns="0" bIns="0" rtlCol="0" anchor="t" anchorCtr="0"/>
          <a:lstStyle/>
          <a:p>
            <a:pPr algn="ctr"/>
            <a:r>
              <a:rPr lang="en-GB" sz="900" b="1">
                <a:solidFill>
                  <a:srgbClr val="FFFF00"/>
                </a:solidFill>
              </a:rPr>
              <a:t>User Guide</a:t>
            </a:r>
          </a:p>
          <a:p>
            <a:pPr algn="ctr"/>
            <a:r>
              <a:rPr lang="en-GB" sz="900" b="0" i="1">
                <a:solidFill>
                  <a:schemeClr val="bg1"/>
                </a:solidFill>
              </a:rPr>
              <a:t>Making</a:t>
            </a:r>
            <a:r>
              <a:rPr lang="en-GB" sz="900" b="0" i="1" baseline="0">
                <a:solidFill>
                  <a:schemeClr val="bg1"/>
                </a:solidFill>
              </a:rPr>
              <a:t> the Most of your</a:t>
            </a:r>
          </a:p>
          <a:p>
            <a:pPr algn="ctr"/>
            <a:r>
              <a:rPr lang="en-GB" sz="900" b="0" i="1" baseline="0">
                <a:solidFill>
                  <a:schemeClr val="bg1"/>
                </a:solidFill>
              </a:rPr>
              <a:t>STEAM Report</a:t>
            </a:r>
            <a:endParaRPr lang="en-GB" sz="900" b="0" i="1">
              <a:solidFill>
                <a:schemeClr val="bg1"/>
              </a:solidFill>
            </a:endParaRPr>
          </a:p>
        </xdr:txBody>
      </xdr:sp>
      <xdr:pic>
        <xdr:nvPicPr>
          <xdr:cNvPr id="75" name="Picture 12">
            <a:extLst>
              <a:ext uri="{FF2B5EF4-FFF2-40B4-BE49-F238E27FC236}">
                <a16:creationId xmlns:a16="http://schemas.microsoft.com/office/drawing/2014/main" id="{00000000-0008-0000-0400-00004B000000}"/>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bwMode="auto">
          <a:xfrm>
            <a:off x="1463040" y="7078979"/>
            <a:ext cx="388620" cy="392509"/>
          </a:xfrm>
          <a:prstGeom prst="roundRect">
            <a:avLst>
              <a:gd name="adj" fmla="val 8594"/>
            </a:avLst>
          </a:prstGeom>
          <a:solidFill>
            <a:srgbClr val="00B0F0"/>
          </a:solidFill>
          <a:ln>
            <a:noFill/>
          </a:ln>
          <a:effectLst>
            <a:softEdge rad="12700"/>
          </a:effectLst>
        </xdr:spPr>
      </xdr:pic>
    </xdr:grpSp>
    <xdr:clientData/>
  </xdr:twoCellAnchor>
  <xdr:twoCellAnchor>
    <xdr:from>
      <xdr:col>19</xdr:col>
      <xdr:colOff>68580</xdr:colOff>
      <xdr:row>33</xdr:row>
      <xdr:rowOff>60960</xdr:rowOff>
    </xdr:from>
    <xdr:to>
      <xdr:col>23</xdr:col>
      <xdr:colOff>388620</xdr:colOff>
      <xdr:row>35</xdr:row>
      <xdr:rowOff>129540</xdr:rowOff>
    </xdr:to>
    <xdr:grpSp>
      <xdr:nvGrpSpPr>
        <xdr:cNvPr id="2" name="Group 1">
          <a:extLst>
            <a:ext uri="{FF2B5EF4-FFF2-40B4-BE49-F238E27FC236}">
              <a16:creationId xmlns:a16="http://schemas.microsoft.com/office/drawing/2014/main" id="{00000000-0008-0000-0400-000002000000}"/>
            </a:ext>
          </a:extLst>
        </xdr:cNvPr>
        <xdr:cNvGrpSpPr/>
      </xdr:nvGrpSpPr>
      <xdr:grpSpPr>
        <a:xfrm>
          <a:off x="9639300" y="7033260"/>
          <a:ext cx="2331720" cy="480060"/>
          <a:chOff x="9243060" y="7033260"/>
          <a:chExt cx="2209800" cy="480060"/>
        </a:xfrm>
      </xdr:grpSpPr>
      <xdr:sp macro="" textlink="">
        <xdr:nvSpPr>
          <xdr:cNvPr id="89" name="TextBox 88">
            <a:hlinkClick xmlns:r="http://schemas.openxmlformats.org/officeDocument/2006/relationships" r:id="rId19" tooltip="Data Table"/>
            <a:extLst>
              <a:ext uri="{FF2B5EF4-FFF2-40B4-BE49-F238E27FC236}">
                <a16:creationId xmlns:a16="http://schemas.microsoft.com/office/drawing/2014/main" id="{00000000-0008-0000-0400-000059000000}"/>
              </a:ext>
            </a:extLst>
          </xdr:cNvPr>
          <xdr:cNvSpPr txBox="1"/>
        </xdr:nvSpPr>
        <xdr:spPr>
          <a:xfrm>
            <a:off x="9243060" y="7033260"/>
            <a:ext cx="2209800" cy="480060"/>
          </a:xfrm>
          <a:prstGeom prst="rect">
            <a:avLst/>
          </a:prstGeom>
          <a:solidFill>
            <a:srgbClr val="FFFF00"/>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288000" tIns="36000" rIns="0" bIns="0" rtlCol="0" anchor="t" anchorCtr="0"/>
          <a:lstStyle/>
          <a:p>
            <a:pPr marL="0" indent="0" algn="ctr"/>
            <a:r>
              <a:rPr lang="en-GB" sz="900" b="1">
                <a:solidFill>
                  <a:sysClr val="windowText" lastClr="000000"/>
                </a:solidFill>
                <a:latin typeface="+mn-lt"/>
                <a:ea typeface="+mn-ea"/>
                <a:cs typeface="+mn-cs"/>
              </a:rPr>
              <a:t>Data</a:t>
            </a:r>
            <a:r>
              <a:rPr lang="en-GB" sz="900" b="1" baseline="0">
                <a:solidFill>
                  <a:sysClr val="windowText" lastClr="000000"/>
                </a:solidFill>
                <a:latin typeface="+mn-lt"/>
                <a:ea typeface="+mn-ea"/>
                <a:cs typeface="+mn-cs"/>
              </a:rPr>
              <a:t> Table</a:t>
            </a:r>
            <a:endParaRPr lang="en-GB" sz="900" b="1">
              <a:solidFill>
                <a:sysClr val="windowText" lastClr="000000"/>
              </a:solidFill>
              <a:latin typeface="+mn-lt"/>
              <a:ea typeface="+mn-ea"/>
              <a:cs typeface="+mn-cs"/>
            </a:endParaRPr>
          </a:p>
          <a:p>
            <a:pPr marL="0" indent="0" algn="ctr"/>
            <a:r>
              <a:rPr lang="en-GB" sz="900" b="0" i="1">
                <a:solidFill>
                  <a:sysClr val="windowText" lastClr="000000"/>
                </a:solidFill>
                <a:latin typeface="+mn-lt"/>
                <a:ea typeface="+mn-ea"/>
                <a:cs typeface="+mn-cs"/>
              </a:rPr>
              <a:t>Monthly Data Supplied</a:t>
            </a:r>
          </a:p>
          <a:p>
            <a:pPr marL="0" indent="0" algn="ctr"/>
            <a:r>
              <a:rPr lang="en-GB" sz="900" b="0" i="1">
                <a:solidFill>
                  <a:sysClr val="windowText" lastClr="000000"/>
                </a:solidFill>
                <a:latin typeface="+mn-lt"/>
                <a:ea typeface="+mn-ea"/>
                <a:cs typeface="+mn-cs"/>
              </a:rPr>
              <a:t>for</a:t>
            </a:r>
            <a:r>
              <a:rPr lang="en-GB" sz="900" b="0" i="1" baseline="0">
                <a:solidFill>
                  <a:sysClr val="windowText" lastClr="000000"/>
                </a:solidFill>
                <a:latin typeface="+mn-lt"/>
                <a:ea typeface="+mn-ea"/>
                <a:cs typeface="+mn-cs"/>
              </a:rPr>
              <a:t> all Measures and Years</a:t>
            </a:r>
            <a:endParaRPr lang="en-GB" sz="900" b="0" i="1">
              <a:solidFill>
                <a:sysClr val="windowText" lastClr="000000"/>
              </a:solidFill>
              <a:latin typeface="+mn-lt"/>
              <a:ea typeface="+mn-ea"/>
              <a:cs typeface="+mn-cs"/>
            </a:endParaRPr>
          </a:p>
        </xdr:txBody>
      </xdr:sp>
      <xdr:pic>
        <xdr:nvPicPr>
          <xdr:cNvPr id="91" name="Picture 10" descr="C:\Users\DC\AppData\Local\Microsoft\Windows\Temporary Internet Files\Content.IE5\UGNFM3Q5\MC900023604[1].wmf">
            <a:extLst>
              <a:ext uri="{FF2B5EF4-FFF2-40B4-BE49-F238E27FC236}">
                <a16:creationId xmlns:a16="http://schemas.microsoft.com/office/drawing/2014/main" id="{00000000-0008-0000-0400-00005B000000}"/>
              </a:ext>
            </a:extLst>
          </xdr:cNvPr>
          <xdr:cNvPicPr>
            <a:picLocks noChangeAspect="1" noChangeArrowheads="1"/>
          </xdr:cNvPicPr>
        </xdr:nvPicPr>
        <xdr:blipFill>
          <a:blip xmlns:r="http://schemas.openxmlformats.org/officeDocument/2006/relationships" r:embed="rId20" cstate="print"/>
          <a:srcRect/>
          <a:stretch>
            <a:fillRect/>
          </a:stretch>
        </xdr:blipFill>
        <xdr:spPr bwMode="auto">
          <a:xfrm>
            <a:off x="9334500" y="7117080"/>
            <a:ext cx="294568" cy="315729"/>
          </a:xfrm>
          <a:prstGeom prst="rect">
            <a:avLst/>
          </a:prstGeom>
          <a:solidFill>
            <a:srgbClr val="FFFF00"/>
          </a:solidFill>
        </xdr:spPr>
      </xdr:pic>
    </xdr:grpSp>
    <xdr:clientData/>
  </xdr:twoCellAnchor>
  <xdr:twoCellAnchor>
    <xdr:from>
      <xdr:col>11</xdr:col>
      <xdr:colOff>68580</xdr:colOff>
      <xdr:row>33</xdr:row>
      <xdr:rowOff>60960</xdr:rowOff>
    </xdr:from>
    <xdr:to>
      <xdr:col>14</xdr:col>
      <xdr:colOff>373380</xdr:colOff>
      <xdr:row>35</xdr:row>
      <xdr:rowOff>129540</xdr:rowOff>
    </xdr:to>
    <xdr:sp macro="" textlink="">
      <xdr:nvSpPr>
        <xdr:cNvPr id="78" name="TextBox 77">
          <a:hlinkClick xmlns:r="http://schemas.openxmlformats.org/officeDocument/2006/relationships" r:id="rId21" tooltip="Cover Sheet - for printing as required"/>
          <a:extLst>
            <a:ext uri="{FF2B5EF4-FFF2-40B4-BE49-F238E27FC236}">
              <a16:creationId xmlns:a16="http://schemas.microsoft.com/office/drawing/2014/main" id="{00000000-0008-0000-0400-00004E000000}"/>
            </a:ext>
          </a:extLst>
        </xdr:cNvPr>
        <xdr:cNvSpPr txBox="1"/>
      </xdr:nvSpPr>
      <xdr:spPr>
        <a:xfrm>
          <a:off x="5297805" y="6861810"/>
          <a:ext cx="1676400" cy="468630"/>
        </a:xfrm>
        <a:prstGeom prst="rect">
          <a:avLst/>
        </a:prstGeom>
        <a:solidFill>
          <a:schemeClr val="tx2">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252000" tIns="36000" rIns="0" bIns="0" rtlCol="0" anchor="t" anchorCtr="0"/>
        <a:lstStyle/>
        <a:p>
          <a:pPr algn="ctr"/>
          <a:r>
            <a:rPr lang="en-GB" sz="900" b="1">
              <a:solidFill>
                <a:srgbClr val="FFFF00"/>
              </a:solidFill>
            </a:rPr>
            <a:t>Cover</a:t>
          </a:r>
        </a:p>
        <a:p>
          <a:pPr algn="ctr"/>
          <a:r>
            <a:rPr lang="en-GB" sz="900" b="0" i="1">
              <a:solidFill>
                <a:schemeClr val="bg1"/>
              </a:solidFill>
            </a:rPr>
            <a:t>Your Report</a:t>
          </a:r>
        </a:p>
        <a:p>
          <a:pPr algn="ctr"/>
          <a:r>
            <a:rPr lang="en-GB" sz="900" b="0" i="1">
              <a:solidFill>
                <a:schemeClr val="bg1"/>
              </a:solidFill>
            </a:rPr>
            <a:t>Cover Page</a:t>
          </a:r>
        </a:p>
      </xdr:txBody>
    </xdr:sp>
    <xdr:clientData/>
  </xdr:twoCellAnchor>
  <xdr:twoCellAnchor>
    <xdr:from>
      <xdr:col>15</xdr:col>
      <xdr:colOff>99060</xdr:colOff>
      <xdr:row>33</xdr:row>
      <xdr:rowOff>60960</xdr:rowOff>
    </xdr:from>
    <xdr:to>
      <xdr:col>18</xdr:col>
      <xdr:colOff>403860</xdr:colOff>
      <xdr:row>35</xdr:row>
      <xdr:rowOff>129540</xdr:rowOff>
    </xdr:to>
    <xdr:grpSp>
      <xdr:nvGrpSpPr>
        <xdr:cNvPr id="10" name="Group 9">
          <a:extLst>
            <a:ext uri="{FF2B5EF4-FFF2-40B4-BE49-F238E27FC236}">
              <a16:creationId xmlns:a16="http://schemas.microsoft.com/office/drawing/2014/main" id="{00000000-0008-0000-0400-00000A000000}"/>
            </a:ext>
          </a:extLst>
        </xdr:cNvPr>
        <xdr:cNvGrpSpPr/>
      </xdr:nvGrpSpPr>
      <xdr:grpSpPr>
        <a:xfrm>
          <a:off x="7658100" y="7033260"/>
          <a:ext cx="1813560" cy="480060"/>
          <a:chOff x="7383780" y="7033260"/>
          <a:chExt cx="1722120" cy="480060"/>
        </a:xfrm>
      </xdr:grpSpPr>
      <xdr:sp macro="" textlink="">
        <xdr:nvSpPr>
          <xdr:cNvPr id="79" name="TextBox 78">
            <a:hlinkClick xmlns:r="http://schemas.openxmlformats.org/officeDocument/2006/relationships" r:id="rId22" tooltip="Contents Page"/>
            <a:extLst>
              <a:ext uri="{FF2B5EF4-FFF2-40B4-BE49-F238E27FC236}">
                <a16:creationId xmlns:a16="http://schemas.microsoft.com/office/drawing/2014/main" id="{00000000-0008-0000-0400-00004F000000}"/>
              </a:ext>
            </a:extLst>
          </xdr:cNvPr>
          <xdr:cNvSpPr txBox="1"/>
        </xdr:nvSpPr>
        <xdr:spPr>
          <a:xfrm>
            <a:off x="7383780" y="7033260"/>
            <a:ext cx="1722120" cy="480060"/>
          </a:xfrm>
          <a:prstGeom prst="rect">
            <a:avLst/>
          </a:prstGeom>
          <a:solidFill>
            <a:schemeClr val="tx2">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576000" tIns="36000" rIns="0" bIns="0" rtlCol="0" anchor="t" anchorCtr="0"/>
          <a:lstStyle/>
          <a:p>
            <a:pPr marL="0" indent="0" algn="ctr"/>
            <a:r>
              <a:rPr lang="en-GB" sz="900" b="1">
                <a:solidFill>
                  <a:srgbClr val="FFFF00"/>
                </a:solidFill>
                <a:latin typeface="+mn-lt"/>
                <a:ea typeface="+mn-ea"/>
                <a:cs typeface="+mn-cs"/>
              </a:rPr>
              <a:t>Contents</a:t>
            </a:r>
          </a:p>
          <a:p>
            <a:pPr marL="0" indent="0" algn="ctr"/>
            <a:r>
              <a:rPr lang="en-GB" sz="900" b="0" i="1">
                <a:solidFill>
                  <a:schemeClr val="bg1"/>
                </a:solidFill>
                <a:latin typeface="+mn-lt"/>
                <a:ea typeface="+mn-ea"/>
                <a:cs typeface="+mn-cs"/>
              </a:rPr>
              <a:t>Your Report</a:t>
            </a:r>
          </a:p>
          <a:p>
            <a:pPr marL="0" indent="0" algn="ctr"/>
            <a:r>
              <a:rPr lang="en-GB" sz="900" b="0" i="1">
                <a:solidFill>
                  <a:schemeClr val="bg1"/>
                </a:solidFill>
                <a:latin typeface="+mn-lt"/>
                <a:ea typeface="+mn-ea"/>
                <a:cs typeface="+mn-cs"/>
              </a:rPr>
              <a:t>Contents Page</a:t>
            </a:r>
          </a:p>
        </xdr:txBody>
      </xdr:sp>
      <mc:AlternateContent xmlns:mc="http://schemas.openxmlformats.org/markup-compatibility/2006" xmlns:a14="http://schemas.microsoft.com/office/drawing/2010/main">
        <mc:Choice Requires="a14">
          <xdr:pic>
            <xdr:nvPicPr>
              <xdr:cNvPr id="93" name="Picture 92">
                <a:hlinkClick xmlns:r="http://schemas.openxmlformats.org/officeDocument/2006/relationships" r:id="rId23" tooltip="Contents Page"/>
                <a:extLst>
                  <a:ext uri="{FF2B5EF4-FFF2-40B4-BE49-F238E27FC236}">
                    <a16:creationId xmlns:a16="http://schemas.microsoft.com/office/drawing/2014/main" id="{00000000-0008-0000-0400-00005D000000}"/>
                  </a:ext>
                </a:extLst>
              </xdr:cNvPr>
              <xdr:cNvPicPr>
                <a:picLocks noChangeAspect="1" noChangeArrowheads="1"/>
                <a:extLst>
                  <a:ext uri="{84589F7E-364E-4C9E-8A38-B11213B215E9}">
                    <a14:cameraTool cellRange="CONTENTS!$E$6:$X$38" spid="_x0000_s126844"/>
                  </a:ext>
                </a:extLst>
              </xdr:cNvPicPr>
            </xdr:nvPicPr>
            <xdr:blipFill>
              <a:blip xmlns:r="http://schemas.openxmlformats.org/officeDocument/2006/relationships" r:embed="rId24"/>
              <a:srcRect/>
              <a:stretch>
                <a:fillRect/>
              </a:stretch>
            </xdr:blipFill>
            <xdr:spPr bwMode="auto">
              <a:xfrm>
                <a:off x="7461138" y="7109460"/>
                <a:ext cx="501762" cy="335280"/>
              </a:xfrm>
              <a:prstGeom prst="rect">
                <a:avLst/>
              </a:prstGeom>
              <a:noFill/>
              <a:ln w="9525">
                <a:noFill/>
                <a:miter lim="800000"/>
                <a:headEnd/>
                <a:tailEnd/>
              </a:ln>
            </xdr:spPr>
          </xdr:pic>
        </mc:Choice>
        <mc:Fallback xmlns=""/>
      </mc:AlternateContent>
    </xdr:grpSp>
    <xdr:clientData/>
  </xdr:twoCellAnchor>
  <xdr:twoCellAnchor>
    <xdr:from>
      <xdr:col>6</xdr:col>
      <xdr:colOff>403860</xdr:colOff>
      <xdr:row>33</xdr:row>
      <xdr:rowOff>60960</xdr:rowOff>
    </xdr:from>
    <xdr:to>
      <xdr:col>10</xdr:col>
      <xdr:colOff>422098</xdr:colOff>
      <xdr:row>35</xdr:row>
      <xdr:rowOff>129540</xdr:rowOff>
    </xdr:to>
    <xdr:grpSp>
      <xdr:nvGrpSpPr>
        <xdr:cNvPr id="13" name="Group 12">
          <a:extLst>
            <a:ext uri="{FF2B5EF4-FFF2-40B4-BE49-F238E27FC236}">
              <a16:creationId xmlns:a16="http://schemas.microsoft.com/office/drawing/2014/main" id="{00000000-0008-0000-0400-00000D000000}"/>
            </a:ext>
          </a:extLst>
        </xdr:cNvPr>
        <xdr:cNvGrpSpPr/>
      </xdr:nvGrpSpPr>
      <xdr:grpSpPr>
        <a:xfrm>
          <a:off x="3436620" y="7033260"/>
          <a:ext cx="2029918" cy="480060"/>
          <a:chOff x="3436620" y="7033260"/>
          <a:chExt cx="1907998" cy="480060"/>
        </a:xfrm>
      </xdr:grpSpPr>
      <xdr:sp macro="" textlink="">
        <xdr:nvSpPr>
          <xdr:cNvPr id="77" name="TextBox 76">
            <a:extLst>
              <a:ext uri="{FF2B5EF4-FFF2-40B4-BE49-F238E27FC236}">
                <a16:creationId xmlns:a16="http://schemas.microsoft.com/office/drawing/2014/main" id="{00000000-0008-0000-0400-00004D000000}"/>
              </a:ext>
            </a:extLst>
          </xdr:cNvPr>
          <xdr:cNvSpPr txBox="1"/>
        </xdr:nvSpPr>
        <xdr:spPr>
          <a:xfrm>
            <a:off x="3436620" y="7033260"/>
            <a:ext cx="1907998" cy="480060"/>
          </a:xfrm>
          <a:prstGeom prst="rect">
            <a:avLst/>
          </a:prstGeom>
          <a:solidFill>
            <a:schemeClr val="tx2">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432000" tIns="36000" rIns="0" bIns="0" rtlCol="0" anchor="t" anchorCtr="0"/>
          <a:lstStyle/>
          <a:p>
            <a:pPr algn="ctr"/>
            <a:r>
              <a:rPr lang="en-GB" sz="900" b="1">
                <a:solidFill>
                  <a:srgbClr val="FFFF00"/>
                </a:solidFill>
              </a:rPr>
              <a:t>STEAM Overview</a:t>
            </a:r>
          </a:p>
          <a:p>
            <a:pPr algn="ctr"/>
            <a:r>
              <a:rPr lang="en-GB" sz="900" b="0" i="1">
                <a:solidFill>
                  <a:schemeClr val="bg1"/>
                </a:solidFill>
              </a:rPr>
              <a:t>About STEAM</a:t>
            </a:r>
            <a:r>
              <a:rPr lang="en-GB" sz="900" b="0" i="1" baseline="0">
                <a:solidFill>
                  <a:schemeClr val="bg1"/>
                </a:solidFill>
              </a:rPr>
              <a:t> and</a:t>
            </a:r>
          </a:p>
          <a:p>
            <a:pPr algn="ctr"/>
            <a:r>
              <a:rPr lang="en-GB" sz="900" b="0" i="1" baseline="0">
                <a:solidFill>
                  <a:schemeClr val="bg1"/>
                </a:solidFill>
              </a:rPr>
              <a:t>the STEAM Process</a:t>
            </a:r>
            <a:endParaRPr lang="en-GB" sz="900" b="0" i="1">
              <a:solidFill>
                <a:schemeClr val="bg1"/>
              </a:solidFill>
            </a:endParaRPr>
          </a:p>
        </xdr:txBody>
      </xdr:sp>
      <xdr:pic>
        <xdr:nvPicPr>
          <xdr:cNvPr id="56" name="Picture 12">
            <a:extLst>
              <a:ext uri="{FF2B5EF4-FFF2-40B4-BE49-F238E27FC236}">
                <a16:creationId xmlns:a16="http://schemas.microsoft.com/office/drawing/2014/main" id="{00000000-0008-0000-0400-000038000000}"/>
              </a:ext>
            </a:extLst>
          </xdr:cNvPr>
          <xdr:cNvPicPr>
            <a:picLocks noChangeAspect="1" noChangeArrowheads="1"/>
          </xdr:cNvPicPr>
        </xdr:nvPicPr>
        <xdr:blipFill rotWithShape="1">
          <a:blip xmlns:r="http://schemas.openxmlformats.org/officeDocument/2006/relationships" r:embed="rId25" cstate="print">
            <a:extLst>
              <a:ext uri="{28A0092B-C50C-407E-A947-70E740481C1C}">
                <a14:useLocalDpi xmlns:a14="http://schemas.microsoft.com/office/drawing/2010/main" val="0"/>
              </a:ext>
            </a:extLst>
          </a:blip>
          <a:srcRect/>
          <a:stretch/>
        </xdr:blipFill>
        <xdr:spPr bwMode="auto">
          <a:xfrm>
            <a:off x="3512820" y="7124700"/>
            <a:ext cx="368281" cy="321315"/>
          </a:xfrm>
          <a:prstGeom prst="roundRect">
            <a:avLst>
              <a:gd name="adj" fmla="val 0"/>
            </a:avLst>
          </a:prstGeom>
          <a:solidFill>
            <a:schemeClr val="bg1"/>
          </a:solidFill>
          <a:ln>
            <a:noFill/>
          </a:ln>
          <a:effectLst>
            <a:softEdge rad="12700"/>
          </a:effectLst>
        </xdr:spPr>
      </xdr:pic>
    </xdr:grpSp>
    <xdr:clientData/>
  </xdr:twoCellAnchor>
  <xdr:twoCellAnchor>
    <xdr:from>
      <xdr:col>6</xdr:col>
      <xdr:colOff>377190</xdr:colOff>
      <xdr:row>21</xdr:row>
      <xdr:rowOff>91440</xdr:rowOff>
    </xdr:from>
    <xdr:to>
      <xdr:col>10</xdr:col>
      <xdr:colOff>395430</xdr:colOff>
      <xdr:row>31</xdr:row>
      <xdr:rowOff>110273</xdr:rowOff>
    </xdr:to>
    <xdr:grpSp>
      <xdr:nvGrpSpPr>
        <xdr:cNvPr id="76" name="Group 75">
          <a:hlinkClick xmlns:r="http://schemas.openxmlformats.org/officeDocument/2006/relationships" r:id="rId26" tooltip="Sectoral Analysis - how employment and expenditure is distributed locally"/>
          <a:extLst>
            <a:ext uri="{FF2B5EF4-FFF2-40B4-BE49-F238E27FC236}">
              <a16:creationId xmlns:a16="http://schemas.microsoft.com/office/drawing/2014/main" id="{00000000-0008-0000-0400-00004C000000}"/>
            </a:ext>
          </a:extLst>
        </xdr:cNvPr>
        <xdr:cNvGrpSpPr/>
      </xdr:nvGrpSpPr>
      <xdr:grpSpPr>
        <a:xfrm>
          <a:off x="3409950" y="4594860"/>
          <a:ext cx="2029920" cy="2076233"/>
          <a:chOff x="1432558" y="4594860"/>
          <a:chExt cx="1908000" cy="2076233"/>
        </a:xfrm>
      </xdr:grpSpPr>
      <xdr:sp macro="" textlink="">
        <xdr:nvSpPr>
          <xdr:cNvPr id="80" name="TextBox 79">
            <a:hlinkClick xmlns:r="http://schemas.openxmlformats.org/officeDocument/2006/relationships" r:id="rId26" tooltip="Sectoral Analysis - How Economic Impacts and Employment are Distributed Across Sectors of the Economy"/>
            <a:extLst>
              <a:ext uri="{FF2B5EF4-FFF2-40B4-BE49-F238E27FC236}">
                <a16:creationId xmlns:a16="http://schemas.microsoft.com/office/drawing/2014/main" id="{00000000-0008-0000-0400-000050000000}"/>
              </a:ext>
            </a:extLst>
          </xdr:cNvPr>
          <xdr:cNvSpPr txBox="1"/>
        </xdr:nvSpPr>
        <xdr:spPr>
          <a:xfrm>
            <a:off x="1432558" y="4594860"/>
            <a:ext cx="1907998" cy="900000"/>
          </a:xfrm>
          <a:prstGeom prst="rect">
            <a:avLst/>
          </a:prstGeom>
          <a:solidFill>
            <a:schemeClr val="bg1">
              <a:lumMod val="5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tIns="36000" rIns="0" bIns="0" rtlCol="0" anchor="t" anchorCtr="0"/>
          <a:lstStyle/>
          <a:p>
            <a:pPr algn="ctr"/>
            <a:r>
              <a:rPr lang="en-GB" sz="1400" b="1">
                <a:solidFill>
                  <a:srgbClr val="FFFF00"/>
                </a:solidFill>
              </a:rPr>
              <a:t>Sectoral</a:t>
            </a:r>
            <a:r>
              <a:rPr lang="en-GB" sz="1400" b="1" baseline="0">
                <a:solidFill>
                  <a:srgbClr val="FFFF00"/>
                </a:solidFill>
              </a:rPr>
              <a:t> Analysis</a:t>
            </a:r>
          </a:p>
          <a:p>
            <a:pPr algn="ctr"/>
            <a:r>
              <a:rPr lang="en-GB" sz="1100" i="1" baseline="0">
                <a:solidFill>
                  <a:schemeClr val="bg1"/>
                </a:solidFill>
              </a:rPr>
              <a:t>Sectoral Distribution of Visitor Expenditure and Employment</a:t>
            </a:r>
          </a:p>
        </xdr:txBody>
      </xdr:sp>
      <mc:AlternateContent xmlns:mc="http://schemas.openxmlformats.org/markup-compatibility/2006" xmlns:a14="http://schemas.microsoft.com/office/drawing/2010/main">
        <mc:Choice Requires="a14">
          <xdr:pic>
            <xdr:nvPicPr>
              <xdr:cNvPr id="81" name="Picture 80">
                <a:extLst>
                  <a:ext uri="{FF2B5EF4-FFF2-40B4-BE49-F238E27FC236}">
                    <a16:creationId xmlns:a16="http://schemas.microsoft.com/office/drawing/2014/main" id="{00000000-0008-0000-0400-000051000000}"/>
                  </a:ext>
                </a:extLst>
              </xdr:cNvPr>
              <xdr:cNvPicPr>
                <a:picLocks noChangeAspect="1" noChangeArrowheads="1"/>
                <a:extLst>
                  <a:ext uri="{84589F7E-364E-4C9E-8A38-B11213B215E9}">
                    <a14:cameraTool cellRange="'SECTORAL ANALYSIS'!$E$6:$X$36" spid="_x0000_s126845"/>
                  </a:ext>
                </a:extLst>
              </xdr:cNvPicPr>
            </xdr:nvPicPr>
            <xdr:blipFill>
              <a:blip xmlns:r="http://schemas.openxmlformats.org/officeDocument/2006/relationships" r:embed="rId27"/>
              <a:srcRect/>
              <a:stretch>
                <a:fillRect/>
              </a:stretch>
            </xdr:blipFill>
            <xdr:spPr bwMode="auto">
              <a:xfrm>
                <a:off x="1432560" y="5394961"/>
                <a:ext cx="1907998" cy="1276132"/>
              </a:xfrm>
              <a:prstGeom prst="rect">
                <a:avLst/>
              </a:prstGeom>
              <a:solidFill>
                <a:schemeClr val="bg1"/>
              </a:solidFill>
              <a:ln w="9525">
                <a:noFill/>
                <a:miter lim="800000"/>
                <a:headEnd/>
                <a:tailEnd/>
              </a:ln>
            </xdr:spPr>
          </xdr:pic>
        </mc:Choice>
        <mc:Fallback xmlns=""/>
      </mc:AlternateContent>
    </xdr:grpSp>
    <xdr:clientData/>
  </xdr:twoCellAnchor>
  <mc:AlternateContent xmlns:mc="http://schemas.openxmlformats.org/markup-compatibility/2006">
    <mc:Choice xmlns:a14="http://schemas.microsoft.com/office/drawing/2010/main" Requires="a14">
      <xdr:twoCellAnchor>
        <xdr:from>
          <xdr:col>11</xdr:col>
          <xdr:colOff>114300</xdr:colOff>
          <xdr:row>33</xdr:row>
          <xdr:rowOff>133350</xdr:rowOff>
        </xdr:from>
        <xdr:to>
          <xdr:col>12</xdr:col>
          <xdr:colOff>145541</xdr:colOff>
          <xdr:row>35</xdr:row>
          <xdr:rowOff>60597</xdr:rowOff>
        </xdr:to>
        <xdr:pic>
          <xdr:nvPicPr>
            <xdr:cNvPr id="69" name="Picture 68">
              <a:hlinkClick xmlns:r="http://schemas.openxmlformats.org/officeDocument/2006/relationships" r:id="rId28" tooltip="Cover Page"/>
              <a:extLst>
                <a:ext uri="{FF2B5EF4-FFF2-40B4-BE49-F238E27FC236}">
                  <a16:creationId xmlns:a16="http://schemas.microsoft.com/office/drawing/2014/main" id="{00000000-0008-0000-0400-000045000000}"/>
                </a:ext>
              </a:extLst>
            </xdr:cNvPr>
            <xdr:cNvPicPr>
              <a:picLocks noChangeAspect="1" noChangeArrowheads="1"/>
              <a:extLst>
                <a:ext uri="{84589F7E-364E-4C9E-8A38-B11213B215E9}">
                  <a14:cameraTool cellRange="COVER!$E$6:$X$34" spid="_x0000_s126846"/>
                </a:ext>
              </a:extLst>
            </xdr:cNvPicPr>
          </xdr:nvPicPr>
          <xdr:blipFill>
            <a:blip xmlns:r="http://schemas.openxmlformats.org/officeDocument/2006/relationships" r:embed="rId29"/>
            <a:srcRect/>
            <a:stretch>
              <a:fillRect/>
            </a:stretch>
          </xdr:blipFill>
          <xdr:spPr bwMode="auto">
            <a:xfrm>
              <a:off x="5343525" y="6934200"/>
              <a:ext cx="488441" cy="327297"/>
            </a:xfrm>
            <a:prstGeom prst="rect">
              <a:avLst/>
            </a:prstGeom>
            <a:solidFill>
              <a:schemeClr val="bg1"/>
            </a:solidFill>
            <a:ln w="9525">
              <a:noFill/>
              <a:miter lim="800000"/>
              <a:headEnd/>
              <a:tailEnd/>
            </a:ln>
          </xdr:spPr>
        </xdr:pic>
        <xdr:clientData/>
      </xdr:twoCellAnchor>
    </mc:Choice>
    <mc:Fallback/>
  </mc:AlternateContent>
  <xdr:twoCellAnchor>
    <xdr:from>
      <xdr:col>24</xdr:col>
      <xdr:colOff>60960</xdr:colOff>
      <xdr:row>1</xdr:row>
      <xdr:rowOff>106680</xdr:rowOff>
    </xdr:from>
    <xdr:to>
      <xdr:col>31</xdr:col>
      <xdr:colOff>91440</xdr:colOff>
      <xdr:row>4</xdr:row>
      <xdr:rowOff>213360</xdr:rowOff>
    </xdr:to>
    <xdr:grpSp>
      <xdr:nvGrpSpPr>
        <xdr:cNvPr id="12" name="Group 11">
          <a:extLst>
            <a:ext uri="{FF2B5EF4-FFF2-40B4-BE49-F238E27FC236}">
              <a16:creationId xmlns:a16="http://schemas.microsoft.com/office/drawing/2014/main" id="{00000000-0008-0000-0400-00000C000000}"/>
            </a:ext>
          </a:extLst>
        </xdr:cNvPr>
        <xdr:cNvGrpSpPr/>
      </xdr:nvGrpSpPr>
      <xdr:grpSpPr>
        <a:xfrm>
          <a:off x="12146280" y="106680"/>
          <a:ext cx="2621280" cy="982980"/>
          <a:chOff x="11597640" y="106680"/>
          <a:chExt cx="2621280" cy="982980"/>
        </a:xfrm>
      </xdr:grpSpPr>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13037820" y="106680"/>
            <a:ext cx="1181100" cy="977092"/>
          </a:xfrm>
          <a:prstGeom prst="rect">
            <a:avLst/>
          </a:prstGeom>
        </xdr:spPr>
      </xdr:pic>
      <xdr:sp macro="" textlink="">
        <xdr:nvSpPr>
          <xdr:cNvPr id="65" name="Rectangle 64">
            <a:extLst>
              <a:ext uri="{FF2B5EF4-FFF2-40B4-BE49-F238E27FC236}">
                <a16:creationId xmlns:a16="http://schemas.microsoft.com/office/drawing/2014/main" id="{00000000-0008-0000-0400-000041000000}"/>
              </a:ext>
            </a:extLst>
          </xdr:cNvPr>
          <xdr:cNvSpPr/>
        </xdr:nvSpPr>
        <xdr:spPr>
          <a:xfrm>
            <a:off x="11597640" y="114300"/>
            <a:ext cx="1409700" cy="975360"/>
          </a:xfrm>
          <a:prstGeom prst="rect">
            <a:avLst/>
          </a:prstGeom>
          <a:noFill/>
          <a:ln>
            <a:noFill/>
          </a:ln>
          <a:effectLst>
            <a:outerShdw blurRad="63500" sx="102000" sy="102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lIns="36000" tIns="36000" rIns="36000" bIns="36000" rtlCol="0" anchor="ctr"/>
          <a:lstStyle/>
          <a:p>
            <a:pPr algn="r"/>
            <a:r>
              <a:rPr lang="en-GB" sz="800" b="1" i="0" baseline="0">
                <a:solidFill>
                  <a:schemeClr val="bg1"/>
                </a:solidFill>
              </a:rPr>
              <a:t>To make best use of the screen area, we recommend that you "auto-hide" the Excel ribbon using the button in top right hand corner of the screen as shown in the image to the right</a:t>
            </a:r>
            <a:endParaRPr lang="en-GB" sz="800" b="0" i="1" baseline="0">
              <a:solidFill>
                <a:schemeClr val="bg1"/>
              </a:solidFill>
            </a:endParaRPr>
          </a:p>
        </xdr:txBody>
      </xdr:sp>
    </xdr:grpSp>
    <xdr:clientData/>
  </xdr:twoCellAnchor>
  <xdr:twoCellAnchor>
    <xdr:from>
      <xdr:col>11</xdr:col>
      <xdr:colOff>66675</xdr:colOff>
      <xdr:row>21</xdr:row>
      <xdr:rowOff>95250</xdr:rowOff>
    </xdr:from>
    <xdr:to>
      <xdr:col>15</xdr:col>
      <xdr:colOff>102060</xdr:colOff>
      <xdr:row>31</xdr:row>
      <xdr:rowOff>114083</xdr:rowOff>
    </xdr:to>
    <xdr:grpSp>
      <xdr:nvGrpSpPr>
        <xdr:cNvPr id="67" name="Group 66">
          <a:hlinkClick xmlns:r="http://schemas.openxmlformats.org/officeDocument/2006/relationships" r:id="rId31" tooltip="Visitor Type Distribution - The Relative Contributions Made by Each Visitor Type to Economic Impact, Tourist Numbers, Tourist Days and Employment"/>
          <a:extLst>
            <a:ext uri="{FF2B5EF4-FFF2-40B4-BE49-F238E27FC236}">
              <a16:creationId xmlns:a16="http://schemas.microsoft.com/office/drawing/2014/main" id="{00000000-0008-0000-0400-000043000000}"/>
            </a:ext>
          </a:extLst>
        </xdr:cNvPr>
        <xdr:cNvGrpSpPr/>
      </xdr:nvGrpSpPr>
      <xdr:grpSpPr>
        <a:xfrm>
          <a:off x="5614035" y="4598670"/>
          <a:ext cx="2047065" cy="2076233"/>
          <a:chOff x="1432558" y="4594860"/>
          <a:chExt cx="1908000" cy="2076233"/>
        </a:xfrm>
      </xdr:grpSpPr>
      <xdr:sp macro="" textlink="">
        <xdr:nvSpPr>
          <xdr:cNvPr id="68" name="TextBox 67">
            <a:extLst>
              <a:ext uri="{FF2B5EF4-FFF2-40B4-BE49-F238E27FC236}">
                <a16:creationId xmlns:a16="http://schemas.microsoft.com/office/drawing/2014/main" id="{00000000-0008-0000-0400-000044000000}"/>
              </a:ext>
            </a:extLst>
          </xdr:cNvPr>
          <xdr:cNvSpPr txBox="1"/>
        </xdr:nvSpPr>
        <xdr:spPr>
          <a:xfrm>
            <a:off x="1432558" y="4594860"/>
            <a:ext cx="1907998" cy="900000"/>
          </a:xfrm>
          <a:prstGeom prst="rect">
            <a:avLst/>
          </a:prstGeom>
          <a:solidFill>
            <a:schemeClr val="accent4">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tIns="36000" rIns="0" bIns="0" rtlCol="0" anchor="t" anchorCtr="0"/>
          <a:lstStyle/>
          <a:p>
            <a:pPr algn="ctr"/>
            <a:r>
              <a:rPr lang="en-GB" sz="1400" b="1">
                <a:solidFill>
                  <a:srgbClr val="FFFF00"/>
                </a:solidFill>
              </a:rPr>
              <a:t>Annual Impact Distribution</a:t>
            </a:r>
            <a:r>
              <a:rPr lang="en-GB" sz="1400" b="1" baseline="0">
                <a:solidFill>
                  <a:srgbClr val="FFFF00"/>
                </a:solidFill>
              </a:rPr>
              <a:t> by Visitor Type</a:t>
            </a:r>
          </a:p>
        </xdr:txBody>
      </xdr:sp>
      <mc:AlternateContent xmlns:mc="http://schemas.openxmlformats.org/markup-compatibility/2006" xmlns:a14="http://schemas.microsoft.com/office/drawing/2010/main">
        <mc:Choice Requires="a14">
          <xdr:pic>
            <xdr:nvPicPr>
              <xdr:cNvPr id="72" name="Picture 71">
                <a:extLst>
                  <a:ext uri="{FF2B5EF4-FFF2-40B4-BE49-F238E27FC236}">
                    <a16:creationId xmlns:a16="http://schemas.microsoft.com/office/drawing/2014/main" id="{00000000-0008-0000-0400-000048000000}"/>
                  </a:ext>
                </a:extLst>
              </xdr:cNvPr>
              <xdr:cNvPicPr>
                <a:picLocks noChangeAspect="1" noChangeArrowheads="1"/>
                <a:extLst>
                  <a:ext uri="{84589F7E-364E-4C9E-8A38-B11213B215E9}">
                    <a14:cameraTool cellRange="'VISITOR TYPE DISTRIBUTION'!$E$6:$X$37" spid="_x0000_s126847"/>
                  </a:ext>
                </a:extLst>
              </xdr:cNvPicPr>
            </xdr:nvPicPr>
            <xdr:blipFill>
              <a:blip xmlns:r="http://schemas.openxmlformats.org/officeDocument/2006/relationships" r:embed="rId32"/>
              <a:srcRect/>
              <a:stretch>
                <a:fillRect/>
              </a:stretch>
            </xdr:blipFill>
            <xdr:spPr bwMode="auto">
              <a:xfrm>
                <a:off x="1432560" y="5394961"/>
                <a:ext cx="1907998" cy="1276132"/>
              </a:xfrm>
              <a:prstGeom prst="rect">
                <a:avLst/>
              </a:prstGeom>
              <a:solidFill>
                <a:schemeClr val="bg1"/>
              </a:solidFill>
              <a:ln w="9525">
                <a:noFill/>
                <a:miter lim="800000"/>
                <a:headEnd/>
                <a:tailEnd/>
              </a:ln>
            </xdr:spPr>
          </xdr:pic>
        </mc:Choice>
        <mc:Fallback xmlns=""/>
      </mc:AlternateContent>
    </xdr:grpSp>
    <xdr:clientData/>
  </xdr:twoCellAnchor>
  <xdr:twoCellAnchor>
    <xdr:from>
      <xdr:col>15</xdr:col>
      <xdr:colOff>219075</xdr:colOff>
      <xdr:row>21</xdr:row>
      <xdr:rowOff>95250</xdr:rowOff>
    </xdr:from>
    <xdr:to>
      <xdr:col>19</xdr:col>
      <xdr:colOff>254460</xdr:colOff>
      <xdr:row>31</xdr:row>
      <xdr:rowOff>114083</xdr:rowOff>
    </xdr:to>
    <xdr:grpSp>
      <xdr:nvGrpSpPr>
        <xdr:cNvPr id="87" name="Group 86">
          <a:hlinkClick xmlns:r="http://schemas.openxmlformats.org/officeDocument/2006/relationships" r:id="rId33" tooltip="Monthly Distribution - The Relative Contributions Made by Each Visitor Type to Economic Impact, Tourist Numbers, Tourist Days and Employment by Month"/>
          <a:extLst>
            <a:ext uri="{FF2B5EF4-FFF2-40B4-BE49-F238E27FC236}">
              <a16:creationId xmlns:a16="http://schemas.microsoft.com/office/drawing/2014/main" id="{00000000-0008-0000-0400-000057000000}"/>
            </a:ext>
          </a:extLst>
        </xdr:cNvPr>
        <xdr:cNvGrpSpPr/>
      </xdr:nvGrpSpPr>
      <xdr:grpSpPr>
        <a:xfrm>
          <a:off x="7778115" y="4598670"/>
          <a:ext cx="2047065" cy="2076233"/>
          <a:chOff x="1432558" y="4594860"/>
          <a:chExt cx="1908000" cy="2076233"/>
        </a:xfrm>
      </xdr:grpSpPr>
      <xdr:sp macro="" textlink="">
        <xdr:nvSpPr>
          <xdr:cNvPr id="88" name="TextBox 87">
            <a:extLst>
              <a:ext uri="{FF2B5EF4-FFF2-40B4-BE49-F238E27FC236}">
                <a16:creationId xmlns:a16="http://schemas.microsoft.com/office/drawing/2014/main" id="{00000000-0008-0000-0400-000058000000}"/>
              </a:ext>
            </a:extLst>
          </xdr:cNvPr>
          <xdr:cNvSpPr txBox="1"/>
        </xdr:nvSpPr>
        <xdr:spPr>
          <a:xfrm>
            <a:off x="1432558" y="4594860"/>
            <a:ext cx="1907998" cy="900000"/>
          </a:xfrm>
          <a:prstGeom prst="rect">
            <a:avLst/>
          </a:prstGeom>
          <a:solidFill>
            <a:schemeClr val="accent4">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tIns="36000" rIns="0" bIns="0" rtlCol="0" anchor="t" anchorCtr="0"/>
          <a:lstStyle/>
          <a:p>
            <a:pPr algn="ctr"/>
            <a:r>
              <a:rPr lang="en-GB" sz="1400" b="1">
                <a:solidFill>
                  <a:srgbClr val="FFFF00"/>
                </a:solidFill>
              </a:rPr>
              <a:t>Monthly</a:t>
            </a:r>
            <a:r>
              <a:rPr lang="en-GB" sz="1400" b="1" baseline="0">
                <a:solidFill>
                  <a:srgbClr val="FFFF00"/>
                </a:solidFill>
              </a:rPr>
              <a:t> </a:t>
            </a:r>
            <a:r>
              <a:rPr lang="en-GB" sz="1400" b="1">
                <a:solidFill>
                  <a:srgbClr val="FFFF00"/>
                </a:solidFill>
              </a:rPr>
              <a:t>Impact Distribution</a:t>
            </a:r>
            <a:r>
              <a:rPr lang="en-GB" sz="1400" b="1" baseline="0">
                <a:solidFill>
                  <a:srgbClr val="FFFF00"/>
                </a:solidFill>
              </a:rPr>
              <a:t> by Visitor Type</a:t>
            </a:r>
          </a:p>
        </xdr:txBody>
      </xdr:sp>
      <mc:AlternateContent xmlns:mc="http://schemas.openxmlformats.org/markup-compatibility/2006" xmlns:a14="http://schemas.microsoft.com/office/drawing/2010/main">
        <mc:Choice Requires="a14">
          <xdr:pic>
            <xdr:nvPicPr>
              <xdr:cNvPr id="90" name="Picture 89">
                <a:extLst>
                  <a:ext uri="{FF2B5EF4-FFF2-40B4-BE49-F238E27FC236}">
                    <a16:creationId xmlns:a16="http://schemas.microsoft.com/office/drawing/2014/main" id="{00000000-0008-0000-0400-00005A000000}"/>
                  </a:ext>
                </a:extLst>
              </xdr:cNvPr>
              <xdr:cNvPicPr>
                <a:picLocks noChangeAspect="1" noChangeArrowheads="1"/>
                <a:extLst>
                  <a:ext uri="{84589F7E-364E-4C9E-8A38-B11213B215E9}">
                    <a14:cameraTool cellRange="'MONTHLY DISTRIBUTION'!$E$6:$X$38" spid="_x0000_s126848"/>
                  </a:ext>
                </a:extLst>
              </xdr:cNvPicPr>
            </xdr:nvPicPr>
            <xdr:blipFill>
              <a:blip xmlns:r="http://schemas.openxmlformats.org/officeDocument/2006/relationships" r:embed="rId34"/>
              <a:srcRect/>
              <a:stretch>
                <a:fillRect/>
              </a:stretch>
            </xdr:blipFill>
            <xdr:spPr bwMode="auto">
              <a:xfrm>
                <a:off x="1432560" y="5394961"/>
                <a:ext cx="1907998" cy="1276132"/>
              </a:xfrm>
              <a:prstGeom prst="rect">
                <a:avLst/>
              </a:prstGeom>
              <a:solidFill>
                <a:schemeClr val="bg1"/>
              </a:solidFill>
              <a:ln w="9525">
                <a:noFill/>
                <a:miter lim="800000"/>
                <a:headEnd/>
                <a:tailEnd/>
              </a:ln>
            </xdr:spPr>
          </xdr:pic>
        </mc:Choice>
        <mc:Fallback xmlns=""/>
      </mc:AlternateContent>
    </xdr:grpSp>
    <xdr:clientData/>
  </xdr:twoCellAnchor>
  <xdr:twoCellAnchor>
    <xdr:from>
      <xdr:col>19</xdr:col>
      <xdr:colOff>361950</xdr:colOff>
      <xdr:row>21</xdr:row>
      <xdr:rowOff>95250</xdr:rowOff>
    </xdr:from>
    <xdr:to>
      <xdr:col>23</xdr:col>
      <xdr:colOff>397335</xdr:colOff>
      <xdr:row>31</xdr:row>
      <xdr:rowOff>114083</xdr:rowOff>
    </xdr:to>
    <xdr:grpSp>
      <xdr:nvGrpSpPr>
        <xdr:cNvPr id="74" name="Group 73">
          <a:hlinkClick xmlns:r="http://schemas.openxmlformats.org/officeDocument/2006/relationships" r:id="rId35" tooltip="Accommodation Supply - Establishments and Bedspaces by Type and Sub-Type of Accommodation"/>
          <a:extLst>
            <a:ext uri="{FF2B5EF4-FFF2-40B4-BE49-F238E27FC236}">
              <a16:creationId xmlns:a16="http://schemas.microsoft.com/office/drawing/2014/main" id="{00000000-0008-0000-0400-00004A000000}"/>
            </a:ext>
          </a:extLst>
        </xdr:cNvPr>
        <xdr:cNvGrpSpPr/>
      </xdr:nvGrpSpPr>
      <xdr:grpSpPr>
        <a:xfrm>
          <a:off x="9932670" y="4598670"/>
          <a:ext cx="2047065" cy="2076233"/>
          <a:chOff x="1432558" y="4594860"/>
          <a:chExt cx="1908000" cy="2076233"/>
        </a:xfrm>
      </xdr:grpSpPr>
      <xdr:sp macro="" textlink="">
        <xdr:nvSpPr>
          <xdr:cNvPr id="82" name="TextBox 81">
            <a:extLst>
              <a:ext uri="{FF2B5EF4-FFF2-40B4-BE49-F238E27FC236}">
                <a16:creationId xmlns:a16="http://schemas.microsoft.com/office/drawing/2014/main" id="{00000000-0008-0000-0400-000052000000}"/>
              </a:ext>
            </a:extLst>
          </xdr:cNvPr>
          <xdr:cNvSpPr txBox="1"/>
        </xdr:nvSpPr>
        <xdr:spPr>
          <a:xfrm>
            <a:off x="1432558" y="4594860"/>
            <a:ext cx="1907998" cy="900000"/>
          </a:xfrm>
          <a:prstGeom prst="rect">
            <a:avLst/>
          </a:prstGeom>
          <a:solidFill>
            <a:schemeClr val="accent3">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tIns="36000" rIns="0" bIns="0" rtlCol="0" anchor="t" anchorCtr="0"/>
          <a:lstStyle/>
          <a:p>
            <a:pPr algn="ctr"/>
            <a:r>
              <a:rPr lang="en-GB" sz="1400" b="1">
                <a:solidFill>
                  <a:srgbClr val="FFFF00"/>
                </a:solidFill>
              </a:rPr>
              <a:t>Accommodation</a:t>
            </a:r>
          </a:p>
          <a:p>
            <a:pPr algn="ctr"/>
            <a:r>
              <a:rPr lang="en-GB" sz="1400" b="1" baseline="0">
                <a:solidFill>
                  <a:srgbClr val="FFFF00"/>
                </a:solidFill>
              </a:rPr>
              <a:t>Supply by</a:t>
            </a:r>
          </a:p>
          <a:p>
            <a:pPr algn="ctr"/>
            <a:r>
              <a:rPr lang="en-GB" sz="1400" b="1" baseline="0">
                <a:solidFill>
                  <a:srgbClr val="FFFF00"/>
                </a:solidFill>
              </a:rPr>
              <a:t>Type of Establishment</a:t>
            </a:r>
          </a:p>
        </xdr:txBody>
      </xdr:sp>
      <mc:AlternateContent xmlns:mc="http://schemas.openxmlformats.org/markup-compatibility/2006" xmlns:a14="http://schemas.microsoft.com/office/drawing/2010/main">
        <mc:Choice Requires="a14">
          <xdr:pic>
            <xdr:nvPicPr>
              <xdr:cNvPr id="83" name="Picture 82">
                <a:extLst>
                  <a:ext uri="{FF2B5EF4-FFF2-40B4-BE49-F238E27FC236}">
                    <a16:creationId xmlns:a16="http://schemas.microsoft.com/office/drawing/2014/main" id="{00000000-0008-0000-0400-000053000000}"/>
                  </a:ext>
                </a:extLst>
              </xdr:cNvPr>
              <xdr:cNvPicPr>
                <a:picLocks noChangeAspect="1" noChangeArrowheads="1"/>
                <a:extLst>
                  <a:ext uri="{84589F7E-364E-4C9E-8A38-B11213B215E9}">
                    <a14:cameraTool cellRange="'ACCOMMODATION SUPPLY'!$E$6:$X$38" spid="_x0000_s126849"/>
                  </a:ext>
                </a:extLst>
              </xdr:cNvPicPr>
            </xdr:nvPicPr>
            <xdr:blipFill>
              <a:blip xmlns:r="http://schemas.openxmlformats.org/officeDocument/2006/relationships" r:embed="rId36"/>
              <a:srcRect/>
              <a:stretch>
                <a:fillRect/>
              </a:stretch>
            </xdr:blipFill>
            <xdr:spPr bwMode="auto">
              <a:xfrm>
                <a:off x="1432560" y="5394961"/>
                <a:ext cx="1907998" cy="1276132"/>
              </a:xfrm>
              <a:prstGeom prst="rect">
                <a:avLst/>
              </a:prstGeom>
              <a:solidFill>
                <a:schemeClr val="bg1"/>
              </a:solidFill>
              <a:ln w="9525">
                <a:noFill/>
                <a:miter lim="800000"/>
                <a:headEnd/>
                <a:tailEnd/>
              </a:ln>
            </xdr:spPr>
          </xdr:pic>
        </mc:Choice>
        <mc:Fallback xmlns=""/>
      </mc:AlternateContent>
    </xdr:grpSp>
    <xdr:clientData/>
  </xdr:twoCellAnchor>
</xdr:wsDr>
</file>

<file path=xl/drawings/drawing5.xml><?xml version="1.0" encoding="utf-8"?>
<xdr:wsDr xmlns:xdr="http://schemas.openxmlformats.org/drawingml/2006/spreadsheetDrawing" xmlns:a="http://schemas.openxmlformats.org/drawingml/2006/main">
  <xdr:twoCellAnchor>
    <xdr:from>
      <xdr:col>4</xdr:col>
      <xdr:colOff>91441</xdr:colOff>
      <xdr:row>1</xdr:row>
      <xdr:rowOff>106680</xdr:rowOff>
    </xdr:from>
    <xdr:to>
      <xdr:col>4</xdr:col>
      <xdr:colOff>358141</xdr:colOff>
      <xdr:row>2</xdr:row>
      <xdr:rowOff>260040</xdr:rowOff>
    </xdr:to>
    <xdr:pic>
      <xdr:nvPicPr>
        <xdr:cNvPr id="3" name="Picture 2" descr="logovvsm.jpg">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cstate="print"/>
        <a:stretch>
          <a:fillRect/>
        </a:stretch>
      </xdr:blipFill>
      <xdr:spPr>
        <a:xfrm>
          <a:off x="1386841" y="106680"/>
          <a:ext cx="266700" cy="353385"/>
        </a:xfrm>
        <a:prstGeom prst="roundRect">
          <a:avLst>
            <a:gd name="adj" fmla="val 8594"/>
          </a:avLst>
        </a:prstGeom>
        <a:solidFill>
          <a:srgbClr val="FFFFFF">
            <a:shade val="85000"/>
          </a:srgbClr>
        </a:solidFill>
        <a:ln>
          <a:noFill/>
        </a:ln>
        <a:effectLst>
          <a:outerShdw blurRad="63500" sx="102000" sy="102000" algn="ctr" rotWithShape="0">
            <a:prstClr val="black">
              <a:alpha val="40000"/>
            </a:prstClr>
          </a:outerShdw>
        </a:effectLst>
      </xdr:spPr>
    </xdr:pic>
    <xdr:clientData/>
  </xdr:twoCellAnchor>
  <xdr:twoCellAnchor>
    <xdr:from>
      <xdr:col>4</xdr:col>
      <xdr:colOff>403860</xdr:colOff>
      <xdr:row>1</xdr:row>
      <xdr:rowOff>99060</xdr:rowOff>
    </xdr:from>
    <xdr:to>
      <xdr:col>7</xdr:col>
      <xdr:colOff>251460</xdr:colOff>
      <xdr:row>2</xdr:row>
      <xdr:rowOff>274320</xdr:rowOff>
    </xdr:to>
    <xdr:sp macro="" textlink="REP.gts">
      <xdr:nvSpPr>
        <xdr:cNvPr id="4" name="TextBox 3">
          <a:extLst>
            <a:ext uri="{FF2B5EF4-FFF2-40B4-BE49-F238E27FC236}">
              <a16:creationId xmlns:a16="http://schemas.microsoft.com/office/drawing/2014/main" id="{00000000-0008-0000-0500-000004000000}"/>
            </a:ext>
          </a:extLst>
        </xdr:cNvPr>
        <xdr:cNvSpPr txBox="1"/>
      </xdr:nvSpPr>
      <xdr:spPr>
        <a:xfrm>
          <a:off x="1699260" y="99060"/>
          <a:ext cx="1981200" cy="37528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fld id="{3BA988AB-649B-451C-8315-D0DA89BAC50D}" type="TxLink">
            <a:rPr lang="en-US" sz="900" b="1" i="0" u="none" strike="noStrike">
              <a:solidFill>
                <a:srgbClr val="000000"/>
              </a:solidFill>
              <a:latin typeface="+mn-lt"/>
            </a:rPr>
            <a:pPr algn="l"/>
            <a:t>Global Tourism Solutions (UK) Ltd</a:t>
          </a:fld>
          <a:endParaRPr lang="en-GB" sz="900" b="1">
            <a:latin typeface="+mn-lt"/>
          </a:endParaRPr>
        </a:p>
      </xdr:txBody>
    </xdr:sp>
    <xdr:clientData/>
  </xdr:twoCellAnchor>
  <xdr:twoCellAnchor>
    <xdr:from>
      <xdr:col>4</xdr:col>
      <xdr:colOff>60960</xdr:colOff>
      <xdr:row>3</xdr:row>
      <xdr:rowOff>15240</xdr:rowOff>
    </xdr:from>
    <xdr:to>
      <xdr:col>21</xdr:col>
      <xdr:colOff>45720</xdr:colOff>
      <xdr:row>3</xdr:row>
      <xdr:rowOff>320040</xdr:rowOff>
    </xdr:to>
    <xdr:sp macro="" textlink="">
      <xdr:nvSpPr>
        <xdr:cNvPr id="5" name="Rectangle 4">
          <a:extLst>
            <a:ext uri="{FF2B5EF4-FFF2-40B4-BE49-F238E27FC236}">
              <a16:creationId xmlns:a16="http://schemas.microsoft.com/office/drawing/2014/main" id="{00000000-0008-0000-0500-000005000000}"/>
            </a:ext>
          </a:extLst>
        </xdr:cNvPr>
        <xdr:cNvSpPr/>
      </xdr:nvSpPr>
      <xdr:spPr>
        <a:xfrm>
          <a:off x="1356360" y="548640"/>
          <a:ext cx="8919210" cy="304800"/>
        </a:xfrm>
        <a:prstGeom prst="rect">
          <a:avLst/>
        </a:prstGeom>
        <a:noFill/>
        <a:ln>
          <a:noFill/>
        </a:ln>
        <a:effectLst>
          <a:outerShdw blurRad="63500" sx="102000" sy="102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lIns="36000" tIns="36000" rIns="36000" bIns="36000" rtlCol="0" anchor="ctr"/>
        <a:lstStyle/>
        <a:p>
          <a:pPr algn="l"/>
          <a:endParaRPr lang="en-GB" sz="1000" b="0" i="1" baseline="0">
            <a:solidFill>
              <a:schemeClr val="bg1"/>
            </a:solidFill>
          </a:endParaRPr>
        </a:p>
      </xdr:txBody>
    </xdr:sp>
    <xdr:clientData fPrintsWithSheet="0"/>
  </xdr:twoCellAnchor>
  <xdr:twoCellAnchor editAs="oneCell">
    <xdr:from>
      <xdr:col>22</xdr:col>
      <xdr:colOff>320041</xdr:colOff>
      <xdr:row>3</xdr:row>
      <xdr:rowOff>45721</xdr:rowOff>
    </xdr:from>
    <xdr:to>
      <xdr:col>23</xdr:col>
      <xdr:colOff>398146</xdr:colOff>
      <xdr:row>4</xdr:row>
      <xdr:rowOff>299165</xdr:rowOff>
    </xdr:to>
    <xdr:pic>
      <xdr:nvPicPr>
        <xdr:cNvPr id="6" name="Picture 5">
          <a:hlinkClick xmlns:r="http://schemas.openxmlformats.org/officeDocument/2006/relationships" r:id="rId2" tooltip="Home - Navigation Page"/>
          <a:extLst>
            <a:ext uri="{FF2B5EF4-FFF2-40B4-BE49-F238E27FC236}">
              <a16:creationId xmlns:a16="http://schemas.microsoft.com/office/drawing/2014/main" id="{00000000-0008-0000-0500-000006000000}"/>
            </a:ext>
          </a:extLst>
        </xdr:cNvPr>
        <xdr:cNvPicPr>
          <a:picLocks noChangeAspect="1"/>
        </xdr:cNvPicPr>
      </xdr:nvPicPr>
      <xdr:blipFill>
        <a:blip xmlns:r="http://schemas.openxmlformats.org/officeDocument/2006/relationships" r:embed="rId3" cstate="print">
          <a:grayscl/>
          <a:extLst>
            <a:ext uri="{28A0092B-C50C-407E-A947-70E740481C1C}">
              <a14:useLocalDpi xmlns:a14="http://schemas.microsoft.com/office/drawing/2010/main" val="0"/>
            </a:ext>
          </a:extLst>
        </a:blip>
        <a:stretch>
          <a:fillRect/>
        </a:stretch>
      </xdr:blipFill>
      <xdr:spPr>
        <a:xfrm>
          <a:off x="11035666" y="579121"/>
          <a:ext cx="563880" cy="586819"/>
        </a:xfrm>
        <a:prstGeom prst="rect">
          <a:avLst/>
        </a:prstGeom>
      </xdr:spPr>
    </xdr:pic>
    <xdr:clientData/>
  </xdr:twoCellAnchor>
  <xdr:twoCellAnchor>
    <xdr:from>
      <xdr:col>7</xdr:col>
      <xdr:colOff>236220</xdr:colOff>
      <xdr:row>1</xdr:row>
      <xdr:rowOff>91440</xdr:rowOff>
    </xdr:from>
    <xdr:to>
      <xdr:col>22</xdr:col>
      <xdr:colOff>182880</xdr:colOff>
      <xdr:row>2</xdr:row>
      <xdr:rowOff>190500</xdr:rowOff>
    </xdr:to>
    <xdr:sp macro="" textlink="">
      <xdr:nvSpPr>
        <xdr:cNvPr id="11" name="Rectangle 10">
          <a:extLst>
            <a:ext uri="{FF2B5EF4-FFF2-40B4-BE49-F238E27FC236}">
              <a16:creationId xmlns:a16="http://schemas.microsoft.com/office/drawing/2014/main" id="{00000000-0008-0000-0500-00000B000000}"/>
            </a:ext>
          </a:extLst>
        </xdr:cNvPr>
        <xdr:cNvSpPr/>
      </xdr:nvSpPr>
      <xdr:spPr>
        <a:xfrm>
          <a:off x="3665220" y="91440"/>
          <a:ext cx="7233285" cy="299085"/>
        </a:xfrm>
        <a:prstGeom prst="rect">
          <a:avLst/>
        </a:prstGeom>
        <a:noFill/>
        <a:ln>
          <a:noFill/>
        </a:ln>
        <a:effectLst>
          <a:outerShdw blurRad="63500" sx="102000" sy="102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lIns="36000" tIns="36000" rIns="36000" bIns="36000" rtlCol="0" anchor="ctr"/>
        <a:lstStyle/>
        <a:p>
          <a:pPr algn="r"/>
          <a:r>
            <a:rPr lang="en-GB" sz="1000" b="1">
              <a:solidFill>
                <a:schemeClr val="tx1">
                  <a:lumMod val="65000"/>
                  <a:lumOff val="35000"/>
                </a:schemeClr>
              </a:solidFill>
            </a:rPr>
            <a:t>Pressing this on-screen "Home" button on</a:t>
          </a:r>
          <a:r>
            <a:rPr lang="en-GB" sz="1000" b="1" baseline="0">
              <a:solidFill>
                <a:schemeClr val="tx1">
                  <a:lumMod val="65000"/>
                  <a:lumOff val="35000"/>
                </a:schemeClr>
              </a:solidFill>
            </a:rPr>
            <a:t> any sheet of the report takes you back to the navigation page</a:t>
          </a:r>
          <a:endParaRPr lang="en-GB" sz="1000" b="0" i="1" baseline="0">
            <a:solidFill>
              <a:schemeClr val="tx1">
                <a:lumMod val="65000"/>
                <a:lumOff val="35000"/>
              </a:schemeClr>
            </a:solidFill>
          </a:endParaRPr>
        </a:p>
      </xdr:txBody>
    </xdr:sp>
    <xdr:clientData fPrintsWithSheet="0"/>
  </xdr:twoCellAnchor>
  <xdr:twoCellAnchor>
    <xdr:from>
      <xdr:col>22</xdr:col>
      <xdr:colOff>232410</xdr:colOff>
      <xdr:row>2</xdr:row>
      <xdr:rowOff>11430</xdr:rowOff>
    </xdr:from>
    <xdr:to>
      <xdr:col>23</xdr:col>
      <xdr:colOff>190500</xdr:colOff>
      <xdr:row>2</xdr:row>
      <xdr:rowOff>281940</xdr:rowOff>
    </xdr:to>
    <xdr:sp macro="" textlink="">
      <xdr:nvSpPr>
        <xdr:cNvPr id="12" name="Bent Arrow 11">
          <a:extLst>
            <a:ext uri="{FF2B5EF4-FFF2-40B4-BE49-F238E27FC236}">
              <a16:creationId xmlns:a16="http://schemas.microsoft.com/office/drawing/2014/main" id="{00000000-0008-0000-0500-00000C000000}"/>
            </a:ext>
          </a:extLst>
        </xdr:cNvPr>
        <xdr:cNvSpPr/>
      </xdr:nvSpPr>
      <xdr:spPr>
        <a:xfrm rot="5400000">
          <a:off x="11034713" y="124777"/>
          <a:ext cx="270510" cy="443865"/>
        </a:xfrm>
        <a:prstGeom prst="bentArrow">
          <a:avLst/>
        </a:prstGeom>
        <a:solidFill>
          <a:schemeClr val="bg1">
            <a:lumMod val="85000"/>
          </a:schemeClr>
        </a:solidFill>
        <a:ln w="22225">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chemeClr val="tx1"/>
            </a:solidFill>
          </a:endParaRPr>
        </a:p>
      </xdr:txBody>
    </xdr:sp>
    <xdr:clientData/>
  </xdr:twoCellAnchor>
  <xdr:twoCellAnchor>
    <xdr:from>
      <xdr:col>18</xdr:col>
      <xdr:colOff>40005</xdr:colOff>
      <xdr:row>26</xdr:row>
      <xdr:rowOff>125729</xdr:rowOff>
    </xdr:from>
    <xdr:to>
      <xdr:col>18</xdr:col>
      <xdr:colOff>346709</xdr:colOff>
      <xdr:row>27</xdr:row>
      <xdr:rowOff>81915</xdr:rowOff>
    </xdr:to>
    <xdr:sp macro="" textlink="$F$29">
      <xdr:nvSpPr>
        <xdr:cNvPr id="13" name="TextBox 12">
          <a:extLst>
            <a:ext uri="{FF2B5EF4-FFF2-40B4-BE49-F238E27FC236}">
              <a16:creationId xmlns:a16="http://schemas.microsoft.com/office/drawing/2014/main" id="{00000000-0008-0000-0500-00000D000000}"/>
            </a:ext>
          </a:extLst>
        </xdr:cNvPr>
        <xdr:cNvSpPr txBox="1"/>
      </xdr:nvSpPr>
      <xdr:spPr>
        <a:xfrm>
          <a:off x="8812530" y="5526404"/>
          <a:ext cx="306704" cy="15621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fld id="{263D66BB-E62C-4EBF-9923-B946FBE9ABDE}" type="TxLink">
            <a:rPr lang="en-US" sz="900" b="1" i="0" u="none" strike="noStrike">
              <a:solidFill>
                <a:sysClr val="windowText" lastClr="000000"/>
              </a:solidFill>
              <a:latin typeface="Calibri"/>
            </a:rPr>
            <a:pPr algn="ctr"/>
            <a:t> </a:t>
          </a:fld>
          <a:endParaRPr lang="en-US" sz="800" b="1" i="0" u="none" strike="noStrike">
            <a:solidFill>
              <a:sysClr val="windowText" lastClr="000000"/>
            </a:solidFill>
            <a:latin typeface="Calibri"/>
          </a:endParaRPr>
        </a:p>
      </xdr:txBody>
    </xdr:sp>
    <xdr:clientData/>
  </xdr:twoCellAnchor>
  <xdr:twoCellAnchor>
    <xdr:from>
      <xdr:col>23</xdr:col>
      <xdr:colOff>114300</xdr:colOff>
      <xdr:row>5</xdr:row>
      <xdr:rowOff>56617</xdr:rowOff>
    </xdr:from>
    <xdr:to>
      <xdr:col>23</xdr:col>
      <xdr:colOff>409575</xdr:colOff>
      <xdr:row>6</xdr:row>
      <xdr:rowOff>154564</xdr:rowOff>
    </xdr:to>
    <xdr:pic>
      <xdr:nvPicPr>
        <xdr:cNvPr id="31" name="Picture 12">
          <a:extLst>
            <a:ext uri="{FF2B5EF4-FFF2-40B4-BE49-F238E27FC236}">
              <a16:creationId xmlns:a16="http://schemas.microsoft.com/office/drawing/2014/main" id="{00000000-0008-0000-0500-00001F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11315700" y="1256767"/>
          <a:ext cx="295275" cy="297972"/>
        </a:xfrm>
        <a:prstGeom prst="roundRect">
          <a:avLst>
            <a:gd name="adj" fmla="val 8594"/>
          </a:avLst>
        </a:prstGeom>
        <a:noFill/>
        <a:ln>
          <a:noFill/>
        </a:ln>
        <a:effectLst>
          <a:softEdge rad="12700"/>
        </a:effectLst>
      </xdr:spPr>
    </xdr:pic>
    <xdr:clientData/>
  </xdr:twoCellAnchor>
  <xdr:twoCellAnchor>
    <xdr:from>
      <xdr:col>4</xdr:col>
      <xdr:colOff>47625</xdr:colOff>
      <xdr:row>7</xdr:row>
      <xdr:rowOff>85724</xdr:rowOff>
    </xdr:from>
    <xdr:to>
      <xdr:col>23</xdr:col>
      <xdr:colOff>457200</xdr:colOff>
      <xdr:row>37</xdr:row>
      <xdr:rowOff>76200</xdr:rowOff>
    </xdr:to>
    <xdr:sp macro="" textlink="">
      <xdr:nvSpPr>
        <xdr:cNvPr id="8" name="TextBox 7">
          <a:extLst>
            <a:ext uri="{FF2B5EF4-FFF2-40B4-BE49-F238E27FC236}">
              <a16:creationId xmlns:a16="http://schemas.microsoft.com/office/drawing/2014/main" id="{00000000-0008-0000-0500-000008000000}"/>
            </a:ext>
          </a:extLst>
        </xdr:cNvPr>
        <xdr:cNvSpPr txBox="1"/>
      </xdr:nvSpPr>
      <xdr:spPr>
        <a:xfrm>
          <a:off x="1343025" y="1685924"/>
          <a:ext cx="10315575" cy="579120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b="1">
              <a:solidFill>
                <a:schemeClr val="tx1">
                  <a:lumMod val="65000"/>
                  <a:lumOff val="35000"/>
                </a:schemeClr>
              </a:solidFill>
            </a:rPr>
            <a:t>Report</a:t>
          </a:r>
          <a:r>
            <a:rPr lang="en-GB" sz="1200" b="1" baseline="0">
              <a:solidFill>
                <a:schemeClr val="tx1">
                  <a:lumMod val="65000"/>
                  <a:lumOff val="35000"/>
                </a:schemeClr>
              </a:solidFill>
            </a:rPr>
            <a:t> </a:t>
          </a:r>
          <a:r>
            <a:rPr lang="en-GB" sz="1200" b="1">
              <a:solidFill>
                <a:schemeClr val="tx1">
                  <a:lumMod val="65000"/>
                  <a:lumOff val="35000"/>
                </a:schemeClr>
              </a:solidFill>
            </a:rPr>
            <a:t>Section </a:t>
          </a:r>
          <a:r>
            <a:rPr lang="en-GB" sz="1200" b="1" baseline="0">
              <a:solidFill>
                <a:schemeClr val="tx1">
                  <a:lumMod val="65000"/>
                  <a:lumOff val="35000"/>
                </a:schemeClr>
              </a:solidFill>
            </a:rPr>
            <a:t>Design and Features</a:t>
          </a:r>
        </a:p>
        <a:p>
          <a:r>
            <a:rPr lang="en-GB" sz="1100" b="1" i="1" baseline="0">
              <a:solidFill>
                <a:schemeClr val="tx1">
                  <a:lumMod val="50000"/>
                  <a:lumOff val="50000"/>
                </a:schemeClr>
              </a:solidFill>
            </a:rPr>
            <a:t>Headers</a:t>
          </a:r>
        </a:p>
        <a:p>
          <a:r>
            <a:rPr lang="en-GB" sz="1000" b="0" i="0" baseline="0"/>
            <a:t>At the top of each page is a band containing key information about your report</a:t>
          </a:r>
        </a:p>
        <a:p>
          <a:endParaRPr lang="en-GB" sz="1100" b="0" i="0" baseline="0"/>
        </a:p>
        <a:p>
          <a:endParaRPr lang="en-GB" sz="1100" b="0" i="0" baseline="0"/>
        </a:p>
        <a:p>
          <a:endParaRPr lang="en-GB" sz="1100" b="0" i="0" baseline="0"/>
        </a:p>
        <a:p>
          <a:endParaRPr lang="en-GB" sz="1100" b="0" i="0" baseline="0"/>
        </a:p>
        <a:p>
          <a:endParaRPr lang="en-GB" sz="1100" b="0" i="0" baseline="0"/>
        </a:p>
        <a:p>
          <a:endParaRPr lang="en-GB" sz="1100" b="0" i="0" baseline="0"/>
        </a:p>
        <a:p>
          <a:r>
            <a:rPr lang="en-GB" sz="1100" b="1" i="1" baseline="0">
              <a:solidFill>
                <a:schemeClr val="tx1">
                  <a:lumMod val="50000"/>
                  <a:lumOff val="50000"/>
                </a:schemeClr>
              </a:solidFill>
              <a:effectLst/>
              <a:latin typeface="+mn-lt"/>
              <a:ea typeface="+mn-ea"/>
              <a:cs typeface="+mn-cs"/>
            </a:rPr>
            <a:t>User Controls (Excel File)</a:t>
          </a:r>
          <a:endParaRPr lang="en-GB">
            <a:solidFill>
              <a:schemeClr val="tx1">
                <a:lumMod val="50000"/>
                <a:lumOff val="50000"/>
              </a:schemeClr>
            </a:solidFill>
            <a:effectLst/>
          </a:endParaRPr>
        </a:p>
        <a:p>
          <a:r>
            <a:rPr lang="en-GB" sz="1000" b="0" i="0" baseline="0">
              <a:solidFill>
                <a:schemeClr val="dk1"/>
              </a:solidFill>
              <a:effectLst/>
              <a:latin typeface="+mn-lt"/>
              <a:ea typeface="+mn-ea"/>
              <a:cs typeface="+mn-cs"/>
            </a:rPr>
            <a:t>Above the </a:t>
          </a:r>
          <a:r>
            <a:rPr lang="en-GB" sz="1000" b="1" i="1" baseline="0">
              <a:solidFill>
                <a:schemeClr val="tx1">
                  <a:lumMod val="50000"/>
                  <a:lumOff val="50000"/>
                </a:schemeClr>
              </a:solidFill>
              <a:effectLst/>
              <a:latin typeface="+mn-lt"/>
              <a:ea typeface="+mn-ea"/>
              <a:cs typeface="+mn-cs"/>
            </a:rPr>
            <a:t>Headers </a:t>
          </a:r>
          <a:r>
            <a:rPr lang="en-GB" sz="1000" b="0" i="0" baseline="0">
              <a:solidFill>
                <a:schemeClr val="dk1"/>
              </a:solidFill>
              <a:effectLst/>
              <a:latin typeface="+mn-lt"/>
              <a:ea typeface="+mn-ea"/>
              <a:cs typeface="+mn-cs"/>
            </a:rPr>
            <a:t>is a band containing </a:t>
          </a:r>
          <a:r>
            <a:rPr lang="en-GB" sz="1000" b="1" i="1" baseline="0">
              <a:solidFill>
                <a:schemeClr val="tx1">
                  <a:lumMod val="50000"/>
                  <a:lumOff val="50000"/>
                </a:schemeClr>
              </a:solidFill>
              <a:effectLst/>
              <a:latin typeface="+mn-lt"/>
              <a:ea typeface="+mn-ea"/>
              <a:cs typeface="+mn-cs"/>
            </a:rPr>
            <a:t>User Controls</a:t>
          </a:r>
          <a:r>
            <a:rPr lang="en-GB" sz="1000" b="0" i="0" baseline="0">
              <a:solidFill>
                <a:schemeClr val="dk1"/>
              </a:solidFill>
              <a:effectLst/>
              <a:latin typeface="+mn-lt"/>
              <a:ea typeface="+mn-ea"/>
              <a:cs typeface="+mn-cs"/>
            </a:rPr>
            <a:t>, these allow you to adjust various features of your report to suit your needs. When using these controls the report recalculates and represents your STEAM report outputs automatically. You may notice some delay between changing a setting and seeing the result, or being able to adjust a further setting, this is entirely normal. </a:t>
          </a:r>
          <a:endParaRPr lang="en-GB" sz="1000" i="0">
            <a:effectLst/>
          </a:endParaRPr>
        </a:p>
        <a:p>
          <a:endParaRPr lang="en-GB" sz="1100" b="0" i="0" baseline="0"/>
        </a:p>
        <a:p>
          <a:endParaRPr lang="en-GB" sz="1100" b="0" i="0" baseline="0"/>
        </a:p>
        <a:p>
          <a:endParaRPr lang="en-GB" sz="1100" b="0" i="0" baseline="0"/>
        </a:p>
        <a:p>
          <a:endParaRPr lang="en-GB" sz="1100" b="0" i="0" baseline="0"/>
        </a:p>
        <a:p>
          <a:endParaRPr lang="en-GB" sz="1100" b="0" i="0" baseline="0"/>
        </a:p>
        <a:p>
          <a:endParaRPr lang="en-GB" sz="1100" b="0" i="0" baseline="0"/>
        </a:p>
        <a:p>
          <a:endParaRPr lang="en-GB" sz="1100" b="0" i="0" baseline="0"/>
        </a:p>
        <a:p>
          <a:endParaRPr lang="en-GB" sz="1100" b="0" i="0" baseline="0"/>
        </a:p>
        <a:p>
          <a:endParaRPr lang="en-GB" sz="1100" b="0" i="0" baseline="0"/>
        </a:p>
        <a:p>
          <a:r>
            <a:rPr lang="en-GB" sz="1100" b="1" i="1" baseline="0">
              <a:solidFill>
                <a:schemeClr val="tx1">
                  <a:lumMod val="50000"/>
                  <a:lumOff val="50000"/>
                </a:schemeClr>
              </a:solidFill>
              <a:effectLst/>
              <a:latin typeface="+mn-lt"/>
              <a:ea typeface="+mn-ea"/>
              <a:cs typeface="+mn-cs"/>
            </a:rPr>
            <a:t>Units</a:t>
          </a:r>
          <a:endParaRPr lang="en-GB">
            <a:solidFill>
              <a:schemeClr val="tx1">
                <a:lumMod val="50000"/>
                <a:lumOff val="50000"/>
              </a:schemeClr>
            </a:solidFill>
            <a:effectLst/>
          </a:endParaRPr>
        </a:p>
        <a:p>
          <a:r>
            <a:rPr lang="en-GB" sz="1000" b="0" i="0" baseline="0">
              <a:solidFill>
                <a:schemeClr val="dk1"/>
              </a:solidFill>
              <a:effectLst/>
              <a:latin typeface="+mn-lt"/>
              <a:ea typeface="+mn-ea"/>
              <a:cs typeface="+mn-cs"/>
            </a:rPr>
            <a:t>Each section of the report automatically adjusts number formatting to present data in the most easily understandable way.  Different visitor types can generate impacts at very different scales and as a result you may see figures for one group of visitors in thousands and another in millions.  The units we use are:</a:t>
          </a:r>
        </a:p>
        <a:p>
          <a:endParaRPr lang="en-GB" sz="1000" b="0" i="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GB" sz="1000" b="1" i="0" baseline="0">
              <a:solidFill>
                <a:schemeClr val="dk1"/>
              </a:solidFill>
              <a:effectLst/>
              <a:latin typeface="+mn-lt"/>
              <a:ea typeface="+mn-ea"/>
              <a:cs typeface="+mn-cs"/>
            </a:rPr>
            <a:t>FTEs	= </a:t>
          </a:r>
          <a:r>
            <a:rPr lang="en-GB" sz="1000" b="0" i="0" baseline="0">
              <a:solidFill>
                <a:schemeClr val="dk1"/>
              </a:solidFill>
              <a:effectLst/>
              <a:latin typeface="+mn-lt"/>
              <a:ea typeface="+mn-ea"/>
              <a:cs typeface="+mn-cs"/>
            </a:rPr>
            <a:t>Full Time Equivalent jobs supported</a:t>
          </a:r>
        </a:p>
        <a:p>
          <a:pPr marL="0" marR="0" indent="0" defTabSz="914400" eaLnBrk="1" fontAlgn="auto" latinLnBrk="0" hangingPunct="1">
            <a:lnSpc>
              <a:spcPct val="100000"/>
            </a:lnSpc>
            <a:spcBef>
              <a:spcPts val="0"/>
            </a:spcBef>
            <a:spcAft>
              <a:spcPts val="0"/>
            </a:spcAft>
            <a:buClrTx/>
            <a:buSzTx/>
            <a:buFontTx/>
            <a:buNone/>
            <a:tabLst/>
            <a:defRPr/>
          </a:pPr>
          <a:r>
            <a:rPr lang="en-GB" sz="1000" b="1" i="0" baseline="0">
              <a:solidFill>
                <a:schemeClr val="dk1"/>
              </a:solidFill>
              <a:effectLst/>
              <a:latin typeface="+mn-lt"/>
              <a:ea typeface="+mn-ea"/>
              <a:cs typeface="+mn-cs"/>
            </a:rPr>
            <a:t>£000s / 000s</a:t>
          </a:r>
          <a:r>
            <a:rPr lang="en-GB" sz="1000" b="0" i="0" baseline="0">
              <a:solidFill>
                <a:schemeClr val="dk1"/>
              </a:solidFill>
              <a:effectLst/>
              <a:latin typeface="+mn-lt"/>
              <a:ea typeface="+mn-ea"/>
              <a:cs typeface="+mn-cs"/>
            </a:rPr>
            <a:t> 	= thousands of pounds or thousands of tourist days / tourist numbers</a:t>
          </a:r>
          <a:endParaRPr lang="en-GB" sz="1000">
            <a:effectLst/>
          </a:endParaRPr>
        </a:p>
        <a:p>
          <a:r>
            <a:rPr lang="en-GB" sz="1000" b="1" i="0" baseline="0">
              <a:solidFill>
                <a:schemeClr val="dk1"/>
              </a:solidFill>
              <a:effectLst/>
              <a:latin typeface="+mn-lt"/>
              <a:ea typeface="+mn-ea"/>
              <a:cs typeface="+mn-cs"/>
            </a:rPr>
            <a:t>£m / m</a:t>
          </a:r>
          <a:r>
            <a:rPr lang="en-GB" sz="1000" b="0" i="0" baseline="0">
              <a:solidFill>
                <a:schemeClr val="dk1"/>
              </a:solidFill>
              <a:effectLst/>
              <a:latin typeface="+mn-lt"/>
              <a:ea typeface="+mn-ea"/>
              <a:cs typeface="+mn-cs"/>
            </a:rPr>
            <a:t> 	= millions of pounds or millions of tourist days / tourist numbers</a:t>
          </a:r>
        </a:p>
        <a:p>
          <a:r>
            <a:rPr lang="en-GB" sz="1000" b="1" i="0" baseline="0">
              <a:solidFill>
                <a:schemeClr val="dk1"/>
              </a:solidFill>
              <a:effectLst/>
              <a:latin typeface="+mn-lt"/>
              <a:ea typeface="+mn-ea"/>
              <a:cs typeface="+mn-cs"/>
            </a:rPr>
            <a:t>£bn / bn	= </a:t>
          </a:r>
          <a:r>
            <a:rPr lang="en-GB" sz="1000" b="0" i="0" baseline="0">
              <a:solidFill>
                <a:schemeClr val="dk1"/>
              </a:solidFill>
              <a:effectLst/>
              <a:latin typeface="+mn-lt"/>
              <a:ea typeface="+mn-ea"/>
              <a:cs typeface="+mn-cs"/>
            </a:rPr>
            <a:t>billions of pounds or billions of tourist days / tourist numbers</a:t>
          </a:r>
          <a:endParaRPr lang="en-GB" sz="1000" b="0">
            <a:effectLst/>
          </a:endParaRPr>
        </a:p>
        <a:p>
          <a:endParaRPr lang="en-GB" sz="1000" b="0" i="0" baseline="0"/>
        </a:p>
        <a:p>
          <a:r>
            <a:rPr lang="en-GB" sz="1100" b="1" i="1" baseline="0">
              <a:solidFill>
                <a:schemeClr val="tx1">
                  <a:lumMod val="50000"/>
                  <a:lumOff val="50000"/>
                </a:schemeClr>
              </a:solidFill>
              <a:effectLst/>
              <a:latin typeface="+mn-lt"/>
              <a:ea typeface="+mn-ea"/>
              <a:cs typeface="+mn-cs"/>
            </a:rPr>
            <a:t>Visitor Numbers / Visitor Days / Average Length of Stay</a:t>
          </a:r>
          <a:endParaRPr lang="en-GB" sz="1100">
            <a:solidFill>
              <a:schemeClr val="tx1">
                <a:lumMod val="50000"/>
                <a:lumOff val="50000"/>
              </a:schemeClr>
            </a:solidFill>
            <a:effectLst/>
          </a:endParaRPr>
        </a:p>
        <a:p>
          <a:pPr marL="0" marR="0" indent="0" defTabSz="914400" eaLnBrk="1" fontAlgn="auto" latinLnBrk="0" hangingPunct="1">
            <a:lnSpc>
              <a:spcPct val="100000"/>
            </a:lnSpc>
            <a:spcBef>
              <a:spcPts val="0"/>
            </a:spcBef>
            <a:spcAft>
              <a:spcPts val="0"/>
            </a:spcAft>
            <a:buClrTx/>
            <a:buSzTx/>
            <a:buFontTx/>
            <a:buNone/>
            <a:tabLst/>
            <a:defRPr/>
          </a:pPr>
          <a:r>
            <a:rPr lang="en-GB" sz="1000" b="0" i="0" baseline="0">
              <a:solidFill>
                <a:schemeClr val="tx1"/>
              </a:solidFill>
            </a:rPr>
            <a:t>The term </a:t>
          </a:r>
          <a:r>
            <a:rPr lang="en-GB" sz="1000" b="1" i="1" baseline="0">
              <a:solidFill>
                <a:schemeClr val="tx1">
                  <a:lumMod val="50000"/>
                  <a:lumOff val="50000"/>
                </a:schemeClr>
              </a:solidFill>
            </a:rPr>
            <a:t>Visitor Numbers </a:t>
          </a:r>
          <a:r>
            <a:rPr lang="en-GB" sz="1000" b="0" i="0" baseline="0"/>
            <a:t>relates to the estimated number of individual </a:t>
          </a:r>
          <a:r>
            <a:rPr lang="en-GB" sz="1000" b="1" i="0" baseline="0"/>
            <a:t>visits </a:t>
          </a:r>
          <a:r>
            <a:rPr lang="en-GB" sz="1000" b="0" i="0" baseline="0"/>
            <a:t>to the area. Each type of visitor tends to stay, on average, a different length of time (Average Length of Stay).  </a:t>
          </a:r>
          <a:r>
            <a:rPr lang="en-GB" sz="1000" b="0" i="0" baseline="0">
              <a:solidFill>
                <a:schemeClr val="dk1"/>
              </a:solidFill>
              <a:effectLst/>
              <a:latin typeface="+mn-lt"/>
              <a:ea typeface="+mn-ea"/>
              <a:cs typeface="+mn-cs"/>
            </a:rPr>
            <a:t>The term </a:t>
          </a:r>
          <a:r>
            <a:rPr lang="en-GB" sz="1000" b="1" i="1" baseline="0">
              <a:solidFill>
                <a:schemeClr val="tx1">
                  <a:lumMod val="50000"/>
                  <a:lumOff val="50000"/>
                </a:schemeClr>
              </a:solidFill>
              <a:effectLst/>
              <a:latin typeface="+mn-lt"/>
              <a:ea typeface="+mn-ea"/>
              <a:cs typeface="+mn-cs"/>
            </a:rPr>
            <a:t>Visitor Days</a:t>
          </a:r>
          <a:r>
            <a:rPr lang="en-GB" sz="1000" b="1" i="1" baseline="0">
              <a:solidFill>
                <a:schemeClr val="dk1"/>
              </a:solidFill>
              <a:effectLst/>
              <a:latin typeface="+mn-lt"/>
              <a:ea typeface="+mn-ea"/>
              <a:cs typeface="+mn-cs"/>
            </a:rPr>
            <a:t> </a:t>
          </a:r>
          <a:r>
            <a:rPr lang="en-GB" sz="1000" b="0" i="0" baseline="0">
              <a:solidFill>
                <a:schemeClr val="dk1"/>
              </a:solidFill>
              <a:effectLst/>
              <a:latin typeface="+mn-lt"/>
              <a:ea typeface="+mn-ea"/>
              <a:cs typeface="+mn-cs"/>
            </a:rPr>
            <a:t>relates to the estimated number of </a:t>
          </a:r>
          <a:r>
            <a:rPr lang="en-GB" sz="1000" b="1" i="0" baseline="0">
              <a:solidFill>
                <a:schemeClr val="dk1"/>
              </a:solidFill>
              <a:effectLst/>
              <a:latin typeface="+mn-lt"/>
              <a:ea typeface="+mn-ea"/>
              <a:cs typeface="+mn-cs"/>
            </a:rPr>
            <a:t>days </a:t>
          </a:r>
          <a:r>
            <a:rPr lang="en-GB" sz="1000" b="0" i="0" baseline="0">
              <a:solidFill>
                <a:schemeClr val="dk1"/>
              </a:solidFill>
              <a:effectLst/>
              <a:latin typeface="+mn-lt"/>
              <a:ea typeface="+mn-ea"/>
              <a:cs typeface="+mn-cs"/>
            </a:rPr>
            <a:t>spent within the area by the different visitor types.  If you divide the visitor days by visitor numbers, you have the </a:t>
          </a:r>
          <a:r>
            <a:rPr lang="en-GB" sz="1000" b="1" i="1" baseline="0">
              <a:solidFill>
                <a:schemeClr val="tx1">
                  <a:lumMod val="50000"/>
                  <a:lumOff val="50000"/>
                </a:schemeClr>
              </a:solidFill>
              <a:effectLst/>
              <a:latin typeface="+mn-lt"/>
              <a:ea typeface="+mn-ea"/>
              <a:cs typeface="+mn-cs"/>
            </a:rPr>
            <a:t>Average Length of Stay</a:t>
          </a:r>
          <a:r>
            <a:rPr lang="en-GB" sz="1000" b="0" i="0" baseline="0">
              <a:solidFill>
                <a:schemeClr val="dk1"/>
              </a:solidFill>
              <a:effectLst/>
              <a:latin typeface="+mn-lt"/>
              <a:ea typeface="+mn-ea"/>
              <a:cs typeface="+mn-cs"/>
            </a:rPr>
            <a:t> for that Visitor Type</a:t>
          </a:r>
          <a:endParaRPr lang="en-GB" sz="1000">
            <a:effectLst/>
          </a:endParaRPr>
        </a:p>
        <a:p>
          <a:endParaRPr lang="en-GB" sz="1100" b="0" i="0" baseline="0"/>
        </a:p>
      </xdr:txBody>
    </xdr:sp>
    <xdr:clientData/>
  </xdr:twoCellAnchor>
  <xdr:twoCellAnchor>
    <xdr:from>
      <xdr:col>4</xdr:col>
      <xdr:colOff>161925</xdr:colOff>
      <xdr:row>10</xdr:row>
      <xdr:rowOff>95248</xdr:rowOff>
    </xdr:from>
    <xdr:to>
      <xdr:col>23</xdr:col>
      <xdr:colOff>200025</xdr:colOff>
      <xdr:row>15</xdr:row>
      <xdr:rowOff>123825</xdr:rowOff>
    </xdr:to>
    <xdr:grpSp>
      <xdr:nvGrpSpPr>
        <xdr:cNvPr id="258052" name="Group 258051">
          <a:extLst>
            <a:ext uri="{FF2B5EF4-FFF2-40B4-BE49-F238E27FC236}">
              <a16:creationId xmlns:a16="http://schemas.microsoft.com/office/drawing/2014/main" id="{00000000-0008-0000-0500-000004F00300}"/>
            </a:ext>
          </a:extLst>
        </xdr:cNvPr>
        <xdr:cNvGrpSpPr/>
      </xdr:nvGrpSpPr>
      <xdr:grpSpPr>
        <a:xfrm>
          <a:off x="1503045" y="2335528"/>
          <a:ext cx="10279380" cy="1057277"/>
          <a:chOff x="1419225" y="2400298"/>
          <a:chExt cx="9944100" cy="1028702"/>
        </a:xfrm>
      </xdr:grpSpPr>
      <mc:AlternateContent xmlns:mc="http://schemas.openxmlformats.org/markup-compatibility/2006" xmlns:a14="http://schemas.microsoft.com/office/drawing/2010/main">
        <mc:Choice Requires="a14">
          <xdr:pic>
            <xdr:nvPicPr>
              <xdr:cNvPr id="42" name="Picture 41">
                <a:extLst>
                  <a:ext uri="{FF2B5EF4-FFF2-40B4-BE49-F238E27FC236}">
                    <a16:creationId xmlns:a16="http://schemas.microsoft.com/office/drawing/2014/main" id="{00000000-0008-0000-0500-00002A000000}"/>
                  </a:ext>
                </a:extLst>
              </xdr:cNvPr>
              <xdr:cNvPicPr>
                <a:picLocks noChangeAspect="1" noChangeArrowheads="1"/>
                <a:extLst>
                  <a:ext uri="{84589F7E-364E-4C9E-8A38-B11213B215E9}">
                    <a14:cameraTool cellRange="'ECONOMIC IMPACT'!$E$6:$X$7" spid="_x0000_s258767"/>
                  </a:ext>
                </a:extLst>
              </xdr:cNvPicPr>
            </xdr:nvPicPr>
            <xdr:blipFill>
              <a:blip xmlns:r="http://schemas.openxmlformats.org/officeDocument/2006/relationships" r:embed="rId5"/>
              <a:srcRect/>
              <a:stretch>
                <a:fillRect/>
              </a:stretch>
            </xdr:blipFill>
            <xdr:spPr bwMode="auto">
              <a:xfrm>
                <a:off x="1419225" y="3019426"/>
                <a:ext cx="7753350" cy="305306"/>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258048" name="Line Callout 1 (Border and Accent Bar) 258047">
            <a:extLst>
              <a:ext uri="{FF2B5EF4-FFF2-40B4-BE49-F238E27FC236}">
                <a16:creationId xmlns:a16="http://schemas.microsoft.com/office/drawing/2014/main" id="{00000000-0008-0000-0500-000000F00300}"/>
              </a:ext>
            </a:extLst>
          </xdr:cNvPr>
          <xdr:cNvSpPr/>
        </xdr:nvSpPr>
        <xdr:spPr>
          <a:xfrm>
            <a:off x="10220325" y="2724149"/>
            <a:ext cx="1143000" cy="704851"/>
          </a:xfrm>
          <a:prstGeom prst="accentBorderCallout1">
            <a:avLst>
              <a:gd name="adj1" fmla="val 67613"/>
              <a:gd name="adj2" fmla="val -3138"/>
              <a:gd name="adj3" fmla="val 67595"/>
              <a:gd name="adj4" fmla="val -94296"/>
            </a:avLst>
          </a:prstGeom>
          <a:noFill/>
          <a:effectLst/>
        </xdr:spPr>
        <xdr:style>
          <a:lnRef idx="1">
            <a:schemeClr val="accent1"/>
          </a:lnRef>
          <a:fillRef idx="2">
            <a:schemeClr val="accent1"/>
          </a:fillRef>
          <a:effectRef idx="1">
            <a:schemeClr val="accent1"/>
          </a:effectRef>
          <a:fontRef idx="minor">
            <a:schemeClr val="dk1"/>
          </a:fontRef>
        </xdr:style>
        <xdr:txBody>
          <a:bodyPr vertOverflow="clip" horzOverflow="clip" rtlCol="0" anchor="ctr"/>
          <a:lstStyle/>
          <a:p>
            <a:pPr algn="l"/>
            <a:r>
              <a:rPr lang="en-GB" sz="900"/>
              <a:t>The section</a:t>
            </a:r>
            <a:r>
              <a:rPr lang="en-GB" sz="900" baseline="0"/>
              <a:t> of the report you are viewing</a:t>
            </a:r>
            <a:endParaRPr lang="en-GB" sz="900"/>
          </a:p>
        </xdr:txBody>
      </xdr:sp>
      <xdr:sp macro="" textlink="">
        <xdr:nvSpPr>
          <xdr:cNvPr id="45" name="Line Callout 1 (Border and Accent Bar) 44">
            <a:extLst>
              <a:ext uri="{FF2B5EF4-FFF2-40B4-BE49-F238E27FC236}">
                <a16:creationId xmlns:a16="http://schemas.microsoft.com/office/drawing/2014/main" id="{00000000-0008-0000-0500-00002D000000}"/>
              </a:ext>
            </a:extLst>
          </xdr:cNvPr>
          <xdr:cNvSpPr/>
        </xdr:nvSpPr>
        <xdr:spPr>
          <a:xfrm>
            <a:off x="6210301" y="2400298"/>
            <a:ext cx="1352550" cy="514351"/>
          </a:xfrm>
          <a:prstGeom prst="accentBorderCallout1">
            <a:avLst>
              <a:gd name="adj1" fmla="val 53935"/>
              <a:gd name="adj2" fmla="val -2013"/>
              <a:gd name="adj3" fmla="val 119908"/>
              <a:gd name="adj4" fmla="val -15874"/>
            </a:avLst>
          </a:prstGeom>
          <a:noFill/>
          <a:effectLst/>
        </xdr:spPr>
        <xdr:style>
          <a:lnRef idx="1">
            <a:schemeClr val="accent1"/>
          </a:lnRef>
          <a:fillRef idx="2">
            <a:schemeClr val="accent1"/>
          </a:fillRef>
          <a:effectRef idx="1">
            <a:schemeClr val="accent1"/>
          </a:effectRef>
          <a:fontRef idx="minor">
            <a:schemeClr val="dk1"/>
          </a:fontRef>
        </xdr:style>
        <xdr:txBody>
          <a:bodyPr vertOverflow="clip" horzOverflow="clip" rtlCol="0" anchor="ctr"/>
          <a:lstStyle/>
          <a:p>
            <a:pPr algn="l"/>
            <a:r>
              <a:rPr lang="en-GB" sz="900"/>
              <a:t>The </a:t>
            </a:r>
            <a:r>
              <a:rPr lang="en-GB" sz="900" b="1" i="1"/>
              <a:t>Years </a:t>
            </a:r>
            <a:r>
              <a:rPr lang="en-GB" sz="900"/>
              <a:t>shown and</a:t>
            </a:r>
          </a:p>
          <a:p>
            <a:pPr algn="l"/>
            <a:r>
              <a:rPr lang="en-GB" sz="900" b="1" i="1"/>
              <a:t>Indexation</a:t>
            </a:r>
            <a:r>
              <a:rPr lang="en-GB" sz="900" b="1" i="1" baseline="0"/>
              <a:t> </a:t>
            </a:r>
            <a:r>
              <a:rPr lang="en-GB" sz="900" baseline="0"/>
              <a:t>being applied (if applicable)</a:t>
            </a:r>
            <a:endParaRPr lang="en-GB" sz="900"/>
          </a:p>
        </xdr:txBody>
      </xdr:sp>
      <xdr:sp macro="" textlink="">
        <xdr:nvSpPr>
          <xdr:cNvPr id="47" name="Line Callout 1 (Border and Accent Bar) 46">
            <a:extLst>
              <a:ext uri="{FF2B5EF4-FFF2-40B4-BE49-F238E27FC236}">
                <a16:creationId xmlns:a16="http://schemas.microsoft.com/office/drawing/2014/main" id="{00000000-0008-0000-0500-00002F000000}"/>
              </a:ext>
            </a:extLst>
          </xdr:cNvPr>
          <xdr:cNvSpPr/>
        </xdr:nvSpPr>
        <xdr:spPr>
          <a:xfrm>
            <a:off x="2143125" y="2409824"/>
            <a:ext cx="3695700" cy="514351"/>
          </a:xfrm>
          <a:prstGeom prst="accentBorderCallout1">
            <a:avLst>
              <a:gd name="adj1" fmla="val 52083"/>
              <a:gd name="adj2" fmla="val -1117"/>
              <a:gd name="adj3" fmla="val 119908"/>
              <a:gd name="adj4" fmla="val -15874"/>
            </a:avLst>
          </a:prstGeom>
          <a:noFill/>
          <a:effectLst/>
        </xdr:spPr>
        <xdr:style>
          <a:lnRef idx="1">
            <a:schemeClr val="accent1"/>
          </a:lnRef>
          <a:fillRef idx="2">
            <a:schemeClr val="accent1"/>
          </a:fillRef>
          <a:effectRef idx="1">
            <a:schemeClr val="accent1"/>
          </a:effectRef>
          <a:fontRef idx="minor">
            <a:schemeClr val="dk1"/>
          </a:fontRef>
        </xdr:style>
        <xdr:txBody>
          <a:bodyPr vertOverflow="clip" horzOverflow="clip" rtlCol="0" anchor="ctr"/>
          <a:lstStyle/>
          <a:p>
            <a:pPr algn="l"/>
            <a:r>
              <a:rPr lang="en-GB" sz="900"/>
              <a:t>The period covered</a:t>
            </a:r>
            <a:r>
              <a:rPr lang="en-GB" sz="900" baseline="0"/>
              <a:t> by the report</a:t>
            </a:r>
          </a:p>
          <a:p>
            <a:pPr algn="l"/>
            <a:r>
              <a:rPr lang="en-GB" sz="900" baseline="0"/>
              <a:t>The geographical / administrative area covered by the report</a:t>
            </a:r>
            <a:endParaRPr lang="en-GB" sz="900"/>
          </a:p>
        </xdr:txBody>
      </xdr:sp>
    </xdr:grpSp>
    <xdr:clientData/>
  </xdr:twoCellAnchor>
  <xdr:twoCellAnchor>
    <xdr:from>
      <xdr:col>4</xdr:col>
      <xdr:colOff>133350</xdr:colOff>
      <xdr:row>18</xdr:row>
      <xdr:rowOff>104774</xdr:rowOff>
    </xdr:from>
    <xdr:to>
      <xdr:col>23</xdr:col>
      <xdr:colOff>190501</xdr:colOff>
      <xdr:row>25</xdr:row>
      <xdr:rowOff>142875</xdr:rowOff>
    </xdr:to>
    <xdr:grpSp>
      <xdr:nvGrpSpPr>
        <xdr:cNvPr id="258053" name="Group 258052">
          <a:extLst>
            <a:ext uri="{FF2B5EF4-FFF2-40B4-BE49-F238E27FC236}">
              <a16:creationId xmlns:a16="http://schemas.microsoft.com/office/drawing/2014/main" id="{00000000-0008-0000-0500-000005F00300}"/>
            </a:ext>
          </a:extLst>
        </xdr:cNvPr>
        <xdr:cNvGrpSpPr/>
      </xdr:nvGrpSpPr>
      <xdr:grpSpPr>
        <a:xfrm>
          <a:off x="1474470" y="3990974"/>
          <a:ext cx="10298431" cy="1478281"/>
          <a:chOff x="1428750" y="4029074"/>
          <a:chExt cx="9963151" cy="1438276"/>
        </a:xfrm>
      </xdr:grpSpPr>
      <mc:AlternateContent xmlns:mc="http://schemas.openxmlformats.org/markup-compatibility/2006" xmlns:a14="http://schemas.microsoft.com/office/drawing/2010/main">
        <mc:Choice Requires="a14">
          <xdr:pic>
            <xdr:nvPicPr>
              <xdr:cNvPr id="50" name="Picture 49">
                <a:extLst>
                  <a:ext uri="{FF2B5EF4-FFF2-40B4-BE49-F238E27FC236}">
                    <a16:creationId xmlns:a16="http://schemas.microsoft.com/office/drawing/2014/main" id="{00000000-0008-0000-0500-000032000000}"/>
                  </a:ext>
                </a:extLst>
              </xdr:cNvPr>
              <xdr:cNvPicPr>
                <a:picLocks noChangeAspect="1" noChangeArrowheads="1"/>
                <a:extLst>
                  <a:ext uri="{84589F7E-364E-4C9E-8A38-B11213B215E9}">
                    <a14:cameraTool cellRange="'COMPARATIVE HEADLINES'!$E$4:$X$5" spid="_x0000_s258768"/>
                  </a:ext>
                </a:extLst>
              </xdr:cNvPicPr>
            </xdr:nvPicPr>
            <xdr:blipFill>
              <a:blip xmlns:r="http://schemas.openxmlformats.org/officeDocument/2006/relationships" r:embed="rId6"/>
              <a:srcRect/>
              <a:stretch>
                <a:fillRect/>
              </a:stretch>
            </xdr:blipFill>
            <xdr:spPr bwMode="auto">
              <a:xfrm>
                <a:off x="1428750" y="4848225"/>
                <a:ext cx="7753320" cy="504108"/>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52" name="Line Callout 1 (Border and Accent Bar) 51">
            <a:extLst>
              <a:ext uri="{FF2B5EF4-FFF2-40B4-BE49-F238E27FC236}">
                <a16:creationId xmlns:a16="http://schemas.microsoft.com/office/drawing/2014/main" id="{00000000-0008-0000-0500-000034000000}"/>
              </a:ext>
            </a:extLst>
          </xdr:cNvPr>
          <xdr:cNvSpPr/>
        </xdr:nvSpPr>
        <xdr:spPr>
          <a:xfrm>
            <a:off x="2038350" y="4029074"/>
            <a:ext cx="9353549" cy="733426"/>
          </a:xfrm>
          <a:prstGeom prst="accentBorderCallout1">
            <a:avLst>
              <a:gd name="adj1" fmla="val 70698"/>
              <a:gd name="adj2" fmla="val -600"/>
              <a:gd name="adj3" fmla="val 112500"/>
              <a:gd name="adj4" fmla="val -4582"/>
            </a:avLst>
          </a:prstGeom>
          <a:noFill/>
          <a:effectLst/>
        </xdr:spPr>
        <xdr:style>
          <a:lnRef idx="1">
            <a:schemeClr val="accent1"/>
          </a:lnRef>
          <a:fillRef idx="2">
            <a:schemeClr val="accent1"/>
          </a:fillRef>
          <a:effectRef idx="1">
            <a:schemeClr val="accent1"/>
          </a:effectRef>
          <a:fontRef idx="minor">
            <a:schemeClr val="dk1"/>
          </a:fontRef>
        </xdr:style>
        <xdr:txBody>
          <a:bodyPr vertOverflow="clip" horzOverflow="clip" rtlCol="0" anchor="ctr"/>
          <a:lstStyle/>
          <a:p>
            <a:pPr algn="l"/>
            <a:r>
              <a:rPr lang="en-GB" sz="900"/>
              <a:t>Drop down fields allow you to change the </a:t>
            </a:r>
            <a:r>
              <a:rPr lang="en-GB" sz="900" b="1"/>
              <a:t>Years</a:t>
            </a:r>
            <a:r>
              <a:rPr lang="en-GB" sz="900" b="0" baseline="0"/>
              <a:t> shown in the tables and charts and in some sections of the report allow you to focus on specific </a:t>
            </a:r>
            <a:r>
              <a:rPr lang="en-GB" sz="900" b="1" baseline="0"/>
              <a:t>Visitor Types</a:t>
            </a:r>
            <a:r>
              <a:rPr lang="en-GB" sz="900" b="0" baseline="0"/>
              <a:t>.  Where there is a financial component to the section you are viewing, you will be able to </a:t>
            </a:r>
            <a:r>
              <a:rPr lang="en-GB" sz="900" b="1" baseline="0"/>
              <a:t>Index</a:t>
            </a:r>
            <a:r>
              <a:rPr lang="en-GB" sz="900" b="0" baseline="0"/>
              <a:t> the historic financial data, by applying an inflationary factor based on the most recent report year shown in that report section. Where there is a </a:t>
            </a:r>
            <a:r>
              <a:rPr lang="en-GB" sz="900" b="1" baseline="0"/>
              <a:t>trend</a:t>
            </a:r>
            <a:r>
              <a:rPr lang="en-GB" sz="900" b="0" baseline="0"/>
              <a:t> or comparative element to the section and percentage changes are shown, you have the option to apply </a:t>
            </a:r>
            <a:r>
              <a:rPr lang="en-GB" sz="900" b="1" baseline="0"/>
              <a:t>highlighting</a:t>
            </a:r>
            <a:r>
              <a:rPr lang="en-GB" sz="900" b="0" baseline="0"/>
              <a:t> to those values that are above a certain percentage threshold (+/-3% for example). In the Comparative Headlines section, the </a:t>
            </a:r>
            <a:r>
              <a:rPr lang="en-GB" sz="900" b="1" i="0" baseline="0"/>
              <a:t>Focus Year </a:t>
            </a:r>
            <a:r>
              <a:rPr lang="en-GB" sz="900" b="0" i="0" baseline="0"/>
              <a:t>can be any year from the trend period, the </a:t>
            </a:r>
            <a:r>
              <a:rPr lang="en-GB" sz="900" b="1" i="0" baseline="0"/>
              <a:t>Comparison Year </a:t>
            </a:r>
            <a:r>
              <a:rPr lang="en-GB" sz="900" b="0" i="0" baseline="0"/>
              <a:t>can only be set as a year which is </a:t>
            </a:r>
            <a:r>
              <a:rPr lang="en-GB" sz="900" b="0" i="0" u="sng" baseline="0"/>
              <a:t>earlier</a:t>
            </a:r>
            <a:r>
              <a:rPr lang="en-GB" sz="900" b="0" i="0" baseline="0"/>
              <a:t> than the focus year.</a:t>
            </a:r>
            <a:endParaRPr lang="en-GB" sz="900" b="0" i="0"/>
          </a:p>
        </xdr:txBody>
      </xdr:sp>
      <xdr:sp macro="" textlink="">
        <xdr:nvSpPr>
          <xdr:cNvPr id="54" name="Line Callout 1 (Border and Accent Bar) 53">
            <a:extLst>
              <a:ext uri="{FF2B5EF4-FFF2-40B4-BE49-F238E27FC236}">
                <a16:creationId xmlns:a16="http://schemas.microsoft.com/office/drawing/2014/main" id="{00000000-0008-0000-0500-000036000000}"/>
              </a:ext>
            </a:extLst>
          </xdr:cNvPr>
          <xdr:cNvSpPr/>
        </xdr:nvSpPr>
        <xdr:spPr>
          <a:xfrm>
            <a:off x="9658350" y="4829174"/>
            <a:ext cx="1733551" cy="638176"/>
          </a:xfrm>
          <a:prstGeom prst="accentBorderCallout1">
            <a:avLst>
              <a:gd name="adj1" fmla="val 78451"/>
              <a:gd name="adj2" fmla="val -3388"/>
              <a:gd name="adj3" fmla="val 40291"/>
              <a:gd name="adj4" fmla="val -28602"/>
            </a:avLst>
          </a:prstGeom>
          <a:noFill/>
          <a:effectLst/>
        </xdr:spPr>
        <xdr:style>
          <a:lnRef idx="1">
            <a:schemeClr val="accent1"/>
          </a:lnRef>
          <a:fillRef idx="2">
            <a:schemeClr val="accent1"/>
          </a:fillRef>
          <a:effectRef idx="1">
            <a:schemeClr val="accent1"/>
          </a:effectRef>
          <a:fontRef idx="minor">
            <a:schemeClr val="dk1"/>
          </a:fontRef>
        </xdr:style>
        <xdr:txBody>
          <a:bodyPr vertOverflow="clip" horzOverflow="clip" rtlCol="0" anchor="ctr"/>
          <a:lstStyle/>
          <a:p>
            <a:pPr algn="l"/>
            <a:r>
              <a:rPr lang="en-GB" sz="900"/>
              <a:t>A link</a:t>
            </a:r>
            <a:r>
              <a:rPr lang="en-GB" sz="900" baseline="0"/>
              <a:t> back to the "Home" page, allowing navigation to each section of the report</a:t>
            </a:r>
            <a:endParaRPr lang="en-GB" sz="900"/>
          </a:p>
        </xdr:txBody>
      </xdr:sp>
    </xdr:grpSp>
    <xdr:clientData/>
  </xdr:twoCellAnchor>
  <xdr:twoCellAnchor>
    <xdr:from>
      <xdr:col>16</xdr:col>
      <xdr:colOff>152400</xdr:colOff>
      <xdr:row>10</xdr:row>
      <xdr:rowOff>95250</xdr:rowOff>
    </xdr:from>
    <xdr:to>
      <xdr:col>20</xdr:col>
      <xdr:colOff>438149</xdr:colOff>
      <xdr:row>13</xdr:row>
      <xdr:rowOff>9526</xdr:rowOff>
    </xdr:to>
    <xdr:sp macro="" textlink="">
      <xdr:nvSpPr>
        <xdr:cNvPr id="58" name="Line Callout 1 (Border and Accent Bar) 57">
          <a:extLst>
            <a:ext uri="{FF2B5EF4-FFF2-40B4-BE49-F238E27FC236}">
              <a16:creationId xmlns:a16="http://schemas.microsoft.com/office/drawing/2014/main" id="{00000000-0008-0000-0500-00003A000000}"/>
            </a:ext>
          </a:extLst>
        </xdr:cNvPr>
        <xdr:cNvSpPr/>
      </xdr:nvSpPr>
      <xdr:spPr>
        <a:xfrm>
          <a:off x="7953375" y="2295525"/>
          <a:ext cx="2228849" cy="514351"/>
        </a:xfrm>
        <a:prstGeom prst="accentBorderCallout1">
          <a:avLst>
            <a:gd name="adj1" fmla="val 53935"/>
            <a:gd name="adj2" fmla="val -2013"/>
            <a:gd name="adj3" fmla="val 119908"/>
            <a:gd name="adj4" fmla="val -15874"/>
          </a:avLst>
        </a:prstGeom>
        <a:noFill/>
        <a:effectLst/>
      </xdr:spPr>
      <xdr:style>
        <a:lnRef idx="1">
          <a:schemeClr val="accent1"/>
        </a:lnRef>
        <a:fillRef idx="2">
          <a:schemeClr val="accent1"/>
        </a:fillRef>
        <a:effectRef idx="1">
          <a:schemeClr val="accent1"/>
        </a:effectRef>
        <a:fontRef idx="minor">
          <a:schemeClr val="dk1"/>
        </a:fontRef>
      </xdr:style>
      <xdr:txBody>
        <a:bodyPr vertOverflow="clip" horzOverflow="clip" rtlCol="0" anchor="ctr"/>
        <a:lstStyle/>
        <a:p>
          <a:pPr algn="l"/>
          <a:r>
            <a:rPr lang="en-GB" sz="900"/>
            <a:t>The </a:t>
          </a:r>
          <a:r>
            <a:rPr lang="en-GB" sz="900" b="1" i="1"/>
            <a:t>Visitor Type</a:t>
          </a:r>
          <a:r>
            <a:rPr lang="en-GB" sz="900" b="1" i="1" baseline="0"/>
            <a:t> </a:t>
          </a:r>
          <a:r>
            <a:rPr lang="en-GB" sz="900" baseline="0"/>
            <a:t>being presented. This will change in those report sections with </a:t>
          </a:r>
          <a:r>
            <a:rPr lang="en-GB" sz="900" b="1" i="1" baseline="0">
              <a:solidFill>
                <a:schemeClr val="tx1">
                  <a:lumMod val="50000"/>
                  <a:lumOff val="50000"/>
                </a:schemeClr>
              </a:solidFill>
            </a:rPr>
            <a:t>User Controls</a:t>
          </a:r>
          <a:r>
            <a:rPr lang="en-GB" sz="900" b="0" i="0" baseline="0"/>
            <a:t> relating to Visitor Type (Excel File)</a:t>
          </a:r>
          <a:endParaRPr lang="en-GB" sz="9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6</xdr:col>
      <xdr:colOff>33130</xdr:colOff>
      <xdr:row>20</xdr:row>
      <xdr:rowOff>30480</xdr:rowOff>
    </xdr:from>
    <xdr:to>
      <xdr:col>8</xdr:col>
      <xdr:colOff>465365</xdr:colOff>
      <xdr:row>23</xdr:row>
      <xdr:rowOff>295275</xdr:rowOff>
    </xdr:to>
    <xdr:graphicFrame macro="">
      <xdr:nvGraphicFramePr>
        <xdr:cNvPr id="2" name="Chart 1">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91441</xdr:colOff>
      <xdr:row>1</xdr:row>
      <xdr:rowOff>106680</xdr:rowOff>
    </xdr:from>
    <xdr:to>
      <xdr:col>4</xdr:col>
      <xdr:colOff>358141</xdr:colOff>
      <xdr:row>2</xdr:row>
      <xdr:rowOff>260040</xdr:rowOff>
    </xdr:to>
    <xdr:pic>
      <xdr:nvPicPr>
        <xdr:cNvPr id="5" name="Picture 4" descr="logovvsm.jpg">
          <a:extLst>
            <a:ext uri="{FF2B5EF4-FFF2-40B4-BE49-F238E27FC236}">
              <a16:creationId xmlns:a16="http://schemas.microsoft.com/office/drawing/2014/main" id="{00000000-0008-0000-0600-000005000000}"/>
            </a:ext>
          </a:extLst>
        </xdr:cNvPr>
        <xdr:cNvPicPr>
          <a:picLocks noChangeAspect="1"/>
        </xdr:cNvPicPr>
      </xdr:nvPicPr>
      <xdr:blipFill>
        <a:blip xmlns:r="http://schemas.openxmlformats.org/officeDocument/2006/relationships" r:embed="rId2" cstate="print"/>
        <a:stretch>
          <a:fillRect/>
        </a:stretch>
      </xdr:blipFill>
      <xdr:spPr>
        <a:xfrm>
          <a:off x="1432561" y="106680"/>
          <a:ext cx="266700" cy="359100"/>
        </a:xfrm>
        <a:prstGeom prst="roundRect">
          <a:avLst>
            <a:gd name="adj" fmla="val 8594"/>
          </a:avLst>
        </a:prstGeom>
        <a:solidFill>
          <a:srgbClr val="FFFFFF">
            <a:shade val="85000"/>
          </a:srgbClr>
        </a:solidFill>
        <a:ln>
          <a:noFill/>
        </a:ln>
        <a:effectLst>
          <a:outerShdw blurRad="63500" sx="102000" sy="102000" algn="ctr" rotWithShape="0">
            <a:prstClr val="black">
              <a:alpha val="40000"/>
            </a:prstClr>
          </a:outerShdw>
        </a:effectLst>
      </xdr:spPr>
    </xdr:pic>
    <xdr:clientData/>
  </xdr:twoCellAnchor>
  <xdr:twoCellAnchor>
    <xdr:from>
      <xdr:col>4</xdr:col>
      <xdr:colOff>403860</xdr:colOff>
      <xdr:row>1</xdr:row>
      <xdr:rowOff>99060</xdr:rowOff>
    </xdr:from>
    <xdr:to>
      <xdr:col>7</xdr:col>
      <xdr:colOff>251460</xdr:colOff>
      <xdr:row>2</xdr:row>
      <xdr:rowOff>274320</xdr:rowOff>
    </xdr:to>
    <xdr:sp macro="" textlink="REP.gts">
      <xdr:nvSpPr>
        <xdr:cNvPr id="6" name="TextBox 5">
          <a:extLst>
            <a:ext uri="{FF2B5EF4-FFF2-40B4-BE49-F238E27FC236}">
              <a16:creationId xmlns:a16="http://schemas.microsoft.com/office/drawing/2014/main" id="{00000000-0008-0000-0600-000006000000}"/>
            </a:ext>
          </a:extLst>
        </xdr:cNvPr>
        <xdr:cNvSpPr txBox="1"/>
      </xdr:nvSpPr>
      <xdr:spPr>
        <a:xfrm>
          <a:off x="1744980" y="99060"/>
          <a:ext cx="2011680" cy="381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fld id="{3BA988AB-649B-451C-8315-D0DA89BAC50D}" type="TxLink">
            <a:rPr lang="en-US" sz="900" b="1" i="0" u="none" strike="noStrike">
              <a:solidFill>
                <a:srgbClr val="000000"/>
              </a:solidFill>
              <a:latin typeface="+mn-lt"/>
            </a:rPr>
            <a:pPr algn="l"/>
            <a:t>Global Tourism Solutions (UK) Ltd</a:t>
          </a:fld>
          <a:endParaRPr lang="en-GB" sz="900" b="1">
            <a:latin typeface="+mn-lt"/>
          </a:endParaRPr>
        </a:p>
      </xdr:txBody>
    </xdr:sp>
    <xdr:clientData/>
  </xdr:twoCellAnchor>
  <xdr:twoCellAnchor>
    <xdr:from>
      <xdr:col>4</xdr:col>
      <xdr:colOff>45719</xdr:colOff>
      <xdr:row>25</xdr:row>
      <xdr:rowOff>38101</xdr:rowOff>
    </xdr:from>
    <xdr:to>
      <xdr:col>8</xdr:col>
      <xdr:colOff>403860</xdr:colOff>
      <xdr:row>35</xdr:row>
      <xdr:rowOff>22861</xdr:rowOff>
    </xdr:to>
    <xdr:graphicFrame macro="">
      <xdr:nvGraphicFramePr>
        <xdr:cNvPr id="7" name="Chart 6">
          <a:extLst>
            <a:ext uri="{FF2B5EF4-FFF2-40B4-BE49-F238E27FC236}">
              <a16:creationId xmlns:a16="http://schemas.microsoft.com/office/drawing/2014/main" id="{00000000-0008-0000-06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xdr:col>
      <xdr:colOff>60960</xdr:colOff>
      <xdr:row>3</xdr:row>
      <xdr:rowOff>15240</xdr:rowOff>
    </xdr:from>
    <xdr:to>
      <xdr:col>21</xdr:col>
      <xdr:colOff>45720</xdr:colOff>
      <xdr:row>3</xdr:row>
      <xdr:rowOff>320040</xdr:rowOff>
    </xdr:to>
    <xdr:sp macro="" textlink="">
      <xdr:nvSpPr>
        <xdr:cNvPr id="8" name="Rectangle 7">
          <a:extLst>
            <a:ext uri="{FF2B5EF4-FFF2-40B4-BE49-F238E27FC236}">
              <a16:creationId xmlns:a16="http://schemas.microsoft.com/office/drawing/2014/main" id="{00000000-0008-0000-0600-000008000000}"/>
            </a:ext>
          </a:extLst>
        </xdr:cNvPr>
        <xdr:cNvSpPr/>
      </xdr:nvSpPr>
      <xdr:spPr>
        <a:xfrm>
          <a:off x="1402080" y="556260"/>
          <a:ext cx="8763000" cy="304800"/>
        </a:xfrm>
        <a:prstGeom prst="rect">
          <a:avLst/>
        </a:prstGeom>
        <a:noFill/>
        <a:ln>
          <a:noFill/>
        </a:ln>
        <a:effectLst>
          <a:outerShdw blurRad="63500" sx="102000" sy="102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lIns="36000" tIns="36000" rIns="36000" bIns="36000" rtlCol="0" anchor="ctr"/>
        <a:lstStyle/>
        <a:p>
          <a:pPr algn="l"/>
          <a:r>
            <a:rPr lang="en-GB" sz="1000" b="1">
              <a:solidFill>
                <a:schemeClr val="bg1"/>
              </a:solidFill>
            </a:rPr>
            <a:t>REPORT CONTROLS </a:t>
          </a:r>
          <a:r>
            <a:rPr lang="en-GB" sz="1000" b="0" i="1">
              <a:solidFill>
                <a:schemeClr val="bg1"/>
              </a:solidFill>
            </a:rPr>
            <a:t>- Please adjust the report outputs</a:t>
          </a:r>
          <a:r>
            <a:rPr lang="en-GB" sz="1000" b="0" i="1" baseline="0">
              <a:solidFill>
                <a:schemeClr val="bg1"/>
              </a:solidFill>
            </a:rPr>
            <a:t> using the drop-down controls below</a:t>
          </a:r>
        </a:p>
      </xdr:txBody>
    </xdr:sp>
    <xdr:clientData fPrintsWithSheet="0"/>
  </xdr:twoCellAnchor>
  <xdr:twoCellAnchor editAs="oneCell">
    <xdr:from>
      <xdr:col>22</xdr:col>
      <xdr:colOff>320041</xdr:colOff>
      <xdr:row>3</xdr:row>
      <xdr:rowOff>45721</xdr:rowOff>
    </xdr:from>
    <xdr:to>
      <xdr:col>23</xdr:col>
      <xdr:colOff>398146</xdr:colOff>
      <xdr:row>4</xdr:row>
      <xdr:rowOff>299165</xdr:rowOff>
    </xdr:to>
    <xdr:pic>
      <xdr:nvPicPr>
        <xdr:cNvPr id="9" name="Picture 8">
          <a:hlinkClick xmlns:r="http://schemas.openxmlformats.org/officeDocument/2006/relationships" r:id="rId4" tooltip="Home - Navigation Page"/>
          <a:extLst>
            <a:ext uri="{FF2B5EF4-FFF2-40B4-BE49-F238E27FC236}">
              <a16:creationId xmlns:a16="http://schemas.microsoft.com/office/drawing/2014/main" id="{00000000-0008-0000-0600-000009000000}"/>
            </a:ext>
          </a:extLst>
        </xdr:cNvPr>
        <xdr:cNvPicPr>
          <a:picLocks noChangeAspect="1"/>
        </xdr:cNvPicPr>
      </xdr:nvPicPr>
      <xdr:blipFill>
        <a:blip xmlns:r="http://schemas.openxmlformats.org/officeDocument/2006/relationships" r:embed="rId5" cstate="print">
          <a:grayscl/>
          <a:extLst>
            <a:ext uri="{28A0092B-C50C-407E-A947-70E740481C1C}">
              <a14:useLocalDpi xmlns:a14="http://schemas.microsoft.com/office/drawing/2010/main" val="0"/>
            </a:ext>
          </a:extLst>
        </a:blip>
        <a:stretch>
          <a:fillRect/>
        </a:stretch>
      </xdr:blipFill>
      <xdr:spPr>
        <a:xfrm>
          <a:off x="10911841" y="586741"/>
          <a:ext cx="579120" cy="588724"/>
        </a:xfrm>
        <a:prstGeom prst="rect">
          <a:avLst/>
        </a:prstGeom>
      </xdr:spPr>
    </xdr:pic>
    <xdr:clientData/>
  </xdr:twoCellAnchor>
  <xdr:twoCellAnchor>
    <xdr:from>
      <xdr:col>17</xdr:col>
      <xdr:colOff>350520</xdr:colOff>
      <xdr:row>25</xdr:row>
      <xdr:rowOff>0</xdr:rowOff>
    </xdr:from>
    <xdr:to>
      <xdr:col>23</xdr:col>
      <xdr:colOff>464819</xdr:colOff>
      <xdr:row>33</xdr:row>
      <xdr:rowOff>198120</xdr:rowOff>
    </xdr:to>
    <xdr:graphicFrame macro="">
      <xdr:nvGraphicFramePr>
        <xdr:cNvPr id="10" name="Chart 9">
          <a:extLst>
            <a:ext uri="{FF2B5EF4-FFF2-40B4-BE49-F238E27FC236}">
              <a16:creationId xmlns:a16="http://schemas.microsoft.com/office/drawing/2014/main" id="{00000000-0008-0000-06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9</xdr:col>
      <xdr:colOff>0</xdr:colOff>
      <xdr:row>20</xdr:row>
      <xdr:rowOff>0</xdr:rowOff>
    </xdr:from>
    <xdr:to>
      <xdr:col>11</xdr:col>
      <xdr:colOff>432235</xdr:colOff>
      <xdr:row>23</xdr:row>
      <xdr:rowOff>289125</xdr:rowOff>
    </xdr:to>
    <xdr:graphicFrame macro="">
      <xdr:nvGraphicFramePr>
        <xdr:cNvPr id="15" name="Chart 14">
          <a:extLst>
            <a:ext uri="{FF2B5EF4-FFF2-40B4-BE49-F238E27FC236}">
              <a16:creationId xmlns:a16="http://schemas.microsoft.com/office/drawing/2014/main" id="{00000000-0008-0000-06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12</xdr:col>
      <xdr:colOff>0</xdr:colOff>
      <xdr:row>20</xdr:row>
      <xdr:rowOff>0</xdr:rowOff>
    </xdr:from>
    <xdr:to>
      <xdr:col>14</xdr:col>
      <xdr:colOff>432235</xdr:colOff>
      <xdr:row>23</xdr:row>
      <xdr:rowOff>289125</xdr:rowOff>
    </xdr:to>
    <xdr:graphicFrame macro="">
      <xdr:nvGraphicFramePr>
        <xdr:cNvPr id="16" name="Chart 15">
          <a:extLst>
            <a:ext uri="{FF2B5EF4-FFF2-40B4-BE49-F238E27FC236}">
              <a16:creationId xmlns:a16="http://schemas.microsoft.com/office/drawing/2014/main" id="{00000000-0008-0000-06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15</xdr:col>
      <xdr:colOff>0</xdr:colOff>
      <xdr:row>20</xdr:row>
      <xdr:rowOff>0</xdr:rowOff>
    </xdr:from>
    <xdr:to>
      <xdr:col>17</xdr:col>
      <xdr:colOff>432235</xdr:colOff>
      <xdr:row>23</xdr:row>
      <xdr:rowOff>289125</xdr:rowOff>
    </xdr:to>
    <xdr:graphicFrame macro="">
      <xdr:nvGraphicFramePr>
        <xdr:cNvPr id="17" name="Chart 16">
          <a:extLst>
            <a:ext uri="{FF2B5EF4-FFF2-40B4-BE49-F238E27FC236}">
              <a16:creationId xmlns:a16="http://schemas.microsoft.com/office/drawing/2014/main" id="{00000000-0008-0000-06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18</xdr:col>
      <xdr:colOff>0</xdr:colOff>
      <xdr:row>20</xdr:row>
      <xdr:rowOff>0</xdr:rowOff>
    </xdr:from>
    <xdr:to>
      <xdr:col>20</xdr:col>
      <xdr:colOff>432235</xdr:colOff>
      <xdr:row>23</xdr:row>
      <xdr:rowOff>289125</xdr:rowOff>
    </xdr:to>
    <xdr:graphicFrame macro="">
      <xdr:nvGraphicFramePr>
        <xdr:cNvPr id="18" name="Chart 17">
          <a:extLst>
            <a:ext uri="{FF2B5EF4-FFF2-40B4-BE49-F238E27FC236}">
              <a16:creationId xmlns:a16="http://schemas.microsoft.com/office/drawing/2014/main" id="{00000000-0008-0000-06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21</xdr:col>
      <xdr:colOff>0</xdr:colOff>
      <xdr:row>20</xdr:row>
      <xdr:rowOff>0</xdr:rowOff>
    </xdr:from>
    <xdr:to>
      <xdr:col>23</xdr:col>
      <xdr:colOff>432235</xdr:colOff>
      <xdr:row>23</xdr:row>
      <xdr:rowOff>289125</xdr:rowOff>
    </xdr:to>
    <xdr:graphicFrame macro="">
      <xdr:nvGraphicFramePr>
        <xdr:cNvPr id="19" name="Chart 18">
          <a:extLst>
            <a:ext uri="{FF2B5EF4-FFF2-40B4-BE49-F238E27FC236}">
              <a16:creationId xmlns:a16="http://schemas.microsoft.com/office/drawing/2014/main" id="{00000000-0008-0000-06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13</xdr:col>
      <xdr:colOff>320040</xdr:colOff>
      <xdr:row>3</xdr:row>
      <xdr:rowOff>331471</xdr:rowOff>
    </xdr:from>
    <xdr:to>
      <xdr:col>16</xdr:col>
      <xdr:colOff>154080</xdr:colOff>
      <xdr:row>4</xdr:row>
      <xdr:rowOff>325696</xdr:rowOff>
    </xdr:to>
    <xdr:sp macro="" textlink="">
      <xdr:nvSpPr>
        <xdr:cNvPr id="22" name="Rectangle 21">
          <a:extLst>
            <a:ext uri="{FF2B5EF4-FFF2-40B4-BE49-F238E27FC236}">
              <a16:creationId xmlns:a16="http://schemas.microsoft.com/office/drawing/2014/main" id="{00000000-0008-0000-0600-000016000000}"/>
            </a:ext>
          </a:extLst>
        </xdr:cNvPr>
        <xdr:cNvSpPr/>
      </xdr:nvSpPr>
      <xdr:spPr>
        <a:xfrm>
          <a:off x="6463665" y="864871"/>
          <a:ext cx="1205640" cy="327600"/>
        </a:xfrm>
        <a:prstGeom prst="rect">
          <a:avLst/>
        </a:prstGeom>
        <a:solidFill>
          <a:schemeClr val="accent1"/>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lIns="0" tIns="0" rIns="0" bIns="0" rtlCol="0" anchor="ctr"/>
        <a:lstStyle/>
        <a:p>
          <a:pPr algn="ctr"/>
          <a:r>
            <a:rPr lang="en-GB" sz="900" b="1">
              <a:solidFill>
                <a:schemeClr val="bg1"/>
              </a:solidFill>
            </a:rPr>
            <a:t>INDEXATION</a:t>
          </a:r>
        </a:p>
        <a:p>
          <a:pPr algn="ctr"/>
          <a:r>
            <a:rPr lang="en-GB" sz="900" b="0">
              <a:solidFill>
                <a:schemeClr val="bg1"/>
              </a:solidFill>
            </a:rPr>
            <a:t>Reflect Price</a:t>
          </a:r>
          <a:r>
            <a:rPr lang="en-GB" sz="900" b="0" baseline="0">
              <a:solidFill>
                <a:schemeClr val="bg1"/>
              </a:solidFill>
            </a:rPr>
            <a:t> Inflation?</a:t>
          </a:r>
          <a:endParaRPr lang="en-GB" sz="900" b="0">
            <a:solidFill>
              <a:schemeClr val="bg1"/>
            </a:solidFill>
          </a:endParaRPr>
        </a:p>
      </xdr:txBody>
    </xdr:sp>
    <xdr:clientData fPrintsWithSheet="0"/>
  </xdr:twoCellAnchor>
  <xdr:twoCellAnchor>
    <xdr:from>
      <xdr:col>4</xdr:col>
      <xdr:colOff>1242060</xdr:colOff>
      <xdr:row>3</xdr:row>
      <xdr:rowOff>304801</xdr:rowOff>
    </xdr:from>
    <xdr:to>
      <xdr:col>7</xdr:col>
      <xdr:colOff>22860</xdr:colOff>
      <xdr:row>4</xdr:row>
      <xdr:rowOff>329521</xdr:rowOff>
    </xdr:to>
    <xdr:sp macro="" textlink="">
      <xdr:nvSpPr>
        <xdr:cNvPr id="23" name="Rectangle 22">
          <a:extLst>
            <a:ext uri="{FF2B5EF4-FFF2-40B4-BE49-F238E27FC236}">
              <a16:creationId xmlns:a16="http://schemas.microsoft.com/office/drawing/2014/main" id="{00000000-0008-0000-0600-000017000000}"/>
            </a:ext>
          </a:extLst>
        </xdr:cNvPr>
        <xdr:cNvSpPr/>
      </xdr:nvSpPr>
      <xdr:spPr>
        <a:xfrm>
          <a:off x="2583180" y="845821"/>
          <a:ext cx="944880" cy="360000"/>
        </a:xfrm>
        <a:prstGeom prst="rect">
          <a:avLst/>
        </a:prstGeom>
        <a:noFill/>
        <a:ln>
          <a:noFill/>
        </a:ln>
        <a:effectLst>
          <a:outerShdw blurRad="63500" sx="101000" sy="101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lIns="36000" tIns="36000" rIns="36000" bIns="36000" rtlCol="0" anchor="ctr"/>
        <a:lstStyle/>
        <a:p>
          <a:pPr algn="ctr"/>
          <a:r>
            <a:rPr lang="en-GB" sz="900" b="1">
              <a:solidFill>
                <a:schemeClr val="bg1"/>
              </a:solidFill>
            </a:rPr>
            <a:t>COMPARISON</a:t>
          </a:r>
        </a:p>
        <a:p>
          <a:pPr algn="ctr"/>
          <a:r>
            <a:rPr lang="en-GB" sz="900" b="1">
              <a:solidFill>
                <a:schemeClr val="bg1"/>
              </a:solidFill>
            </a:rPr>
            <a:t>YEAR</a:t>
          </a:r>
          <a:endParaRPr lang="en-GB" sz="900" b="1" baseline="0">
            <a:solidFill>
              <a:schemeClr val="bg1"/>
            </a:solidFill>
          </a:endParaRPr>
        </a:p>
      </xdr:txBody>
    </xdr:sp>
    <xdr:clientData fPrintsWithSheet="0"/>
  </xdr:twoCellAnchor>
  <xdr:twoCellAnchor>
    <xdr:from>
      <xdr:col>17</xdr:col>
      <xdr:colOff>289560</xdr:colOff>
      <xdr:row>3</xdr:row>
      <xdr:rowOff>304801</xdr:rowOff>
    </xdr:from>
    <xdr:to>
      <xdr:col>21</xdr:col>
      <xdr:colOff>199800</xdr:colOff>
      <xdr:row>4</xdr:row>
      <xdr:rowOff>329521</xdr:rowOff>
    </xdr:to>
    <xdr:sp macro="" textlink="">
      <xdr:nvSpPr>
        <xdr:cNvPr id="24" name="Rectangle 23">
          <a:extLst>
            <a:ext uri="{FF2B5EF4-FFF2-40B4-BE49-F238E27FC236}">
              <a16:creationId xmlns:a16="http://schemas.microsoft.com/office/drawing/2014/main" id="{00000000-0008-0000-0600-000018000000}"/>
            </a:ext>
          </a:extLst>
        </xdr:cNvPr>
        <xdr:cNvSpPr/>
      </xdr:nvSpPr>
      <xdr:spPr>
        <a:xfrm>
          <a:off x="8519160" y="845821"/>
          <a:ext cx="1800000" cy="360000"/>
        </a:xfrm>
        <a:prstGeom prst="rect">
          <a:avLst/>
        </a:prstGeom>
        <a:noFill/>
        <a:ln>
          <a:noFill/>
        </a:ln>
        <a:effectLst>
          <a:outerShdw blurRad="63500" sx="101000" sy="101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lIns="36000" tIns="36000" rIns="36000" bIns="36000" rtlCol="0" anchor="ctr"/>
        <a:lstStyle/>
        <a:p>
          <a:pPr algn="ctr"/>
          <a:r>
            <a:rPr lang="en-GB" sz="900" b="1">
              <a:solidFill>
                <a:schemeClr val="bg1"/>
              </a:solidFill>
            </a:rPr>
            <a:t>HIGHLIGHT</a:t>
          </a:r>
          <a:r>
            <a:rPr lang="en-GB" sz="900" b="1" baseline="0">
              <a:solidFill>
                <a:schemeClr val="bg1"/>
              </a:solidFill>
            </a:rPr>
            <a:t> % CHANGES</a:t>
          </a:r>
        </a:p>
        <a:p>
          <a:pPr algn="ctr"/>
          <a:r>
            <a:rPr lang="en-GB" sz="900" b="1" baseline="0">
              <a:solidFill>
                <a:schemeClr val="bg1"/>
              </a:solidFill>
            </a:rPr>
            <a:t>GREATER THAN OR EQUAL TO:</a:t>
          </a:r>
        </a:p>
      </xdr:txBody>
    </xdr:sp>
    <xdr:clientData fPrintsWithSheet="0"/>
  </xdr:twoCellAnchor>
  <mc:AlternateContent xmlns:mc="http://schemas.openxmlformats.org/markup-compatibility/2006">
    <mc:Choice xmlns:a14="http://schemas.microsoft.com/office/drawing/2010/main" Requires="a14">
      <xdr:twoCellAnchor editAs="oneCell">
        <xdr:from>
          <xdr:col>21</xdr:col>
          <xdr:colOff>190500</xdr:colOff>
          <xdr:row>4</xdr:row>
          <xdr:rowOff>22860</xdr:rowOff>
        </xdr:from>
        <xdr:to>
          <xdr:col>22</xdr:col>
          <xdr:colOff>274320</xdr:colOff>
          <xdr:row>4</xdr:row>
          <xdr:rowOff>297180</xdr:rowOff>
        </xdr:to>
        <xdr:sp macro="" textlink="">
          <xdr:nvSpPr>
            <xdr:cNvPr id="109573" name="Drop Down 5" hidden="1">
              <a:extLst>
                <a:ext uri="{63B3BB69-23CF-44E3-9099-C40C66FF867C}">
                  <a14:compatExt spid="_x0000_s109573"/>
                </a:ext>
                <a:ext uri="{FF2B5EF4-FFF2-40B4-BE49-F238E27FC236}">
                  <a16:creationId xmlns:a16="http://schemas.microsoft.com/office/drawing/2014/main" id="{00000000-0008-0000-0600-000005A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426720</xdr:colOff>
          <xdr:row>4</xdr:row>
          <xdr:rowOff>22860</xdr:rowOff>
        </xdr:from>
        <xdr:to>
          <xdr:col>8</xdr:col>
          <xdr:colOff>144780</xdr:colOff>
          <xdr:row>4</xdr:row>
          <xdr:rowOff>297180</xdr:rowOff>
        </xdr:to>
        <xdr:sp macro="" textlink="">
          <xdr:nvSpPr>
            <xdr:cNvPr id="109574" name="Drop Down 6" hidden="1">
              <a:extLst>
                <a:ext uri="{63B3BB69-23CF-44E3-9099-C40C66FF867C}">
                  <a14:compatExt spid="_x0000_s109574"/>
                </a:ext>
                <a:ext uri="{FF2B5EF4-FFF2-40B4-BE49-F238E27FC236}">
                  <a16:creationId xmlns:a16="http://schemas.microsoft.com/office/drawing/2014/main" id="{00000000-0008-0000-0600-000006A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83820</xdr:colOff>
          <xdr:row>4</xdr:row>
          <xdr:rowOff>22860</xdr:rowOff>
        </xdr:from>
        <xdr:to>
          <xdr:col>17</xdr:col>
          <xdr:colOff>297180</xdr:colOff>
          <xdr:row>4</xdr:row>
          <xdr:rowOff>297180</xdr:rowOff>
        </xdr:to>
        <xdr:sp macro="" textlink="">
          <xdr:nvSpPr>
            <xdr:cNvPr id="109575" name="Drop Down 7" hidden="1">
              <a:extLst>
                <a:ext uri="{63B3BB69-23CF-44E3-9099-C40C66FF867C}">
                  <a14:compatExt spid="_x0000_s109575"/>
                </a:ext>
                <a:ext uri="{FF2B5EF4-FFF2-40B4-BE49-F238E27FC236}">
                  <a16:creationId xmlns:a16="http://schemas.microsoft.com/office/drawing/2014/main" id="{00000000-0008-0000-0600-000007A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4</xdr:col>
      <xdr:colOff>22860</xdr:colOff>
      <xdr:row>4</xdr:row>
      <xdr:rowOff>0</xdr:rowOff>
    </xdr:from>
    <xdr:to>
      <xdr:col>4</xdr:col>
      <xdr:colOff>586740</xdr:colOff>
      <xdr:row>4</xdr:row>
      <xdr:rowOff>327660</xdr:rowOff>
    </xdr:to>
    <xdr:sp macro="" textlink="">
      <xdr:nvSpPr>
        <xdr:cNvPr id="28" name="Rectangle 27">
          <a:extLst>
            <a:ext uri="{FF2B5EF4-FFF2-40B4-BE49-F238E27FC236}">
              <a16:creationId xmlns:a16="http://schemas.microsoft.com/office/drawing/2014/main" id="{00000000-0008-0000-0600-00001C000000}"/>
            </a:ext>
          </a:extLst>
        </xdr:cNvPr>
        <xdr:cNvSpPr/>
      </xdr:nvSpPr>
      <xdr:spPr>
        <a:xfrm>
          <a:off x="1363980" y="876300"/>
          <a:ext cx="563880" cy="327660"/>
        </a:xfrm>
        <a:prstGeom prst="rect">
          <a:avLst/>
        </a:prstGeom>
        <a:solidFill>
          <a:schemeClr val="tx2"/>
        </a:solidFill>
        <a:ln>
          <a:noFill/>
        </a:ln>
        <a:effectLst>
          <a:outerShdw blurRad="63500" sx="101000" sy="101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lIns="0" tIns="0" rIns="0" bIns="0" rtlCol="0" anchor="ctr"/>
        <a:lstStyle/>
        <a:p>
          <a:pPr algn="ctr"/>
          <a:r>
            <a:rPr lang="en-GB" sz="900" b="1">
              <a:solidFill>
                <a:schemeClr val="bg1"/>
              </a:solidFill>
            </a:rPr>
            <a:t>FOCUS</a:t>
          </a:r>
        </a:p>
        <a:p>
          <a:pPr algn="ctr"/>
          <a:r>
            <a:rPr lang="en-GB" sz="900" b="1" baseline="0">
              <a:solidFill>
                <a:schemeClr val="bg1"/>
              </a:solidFill>
            </a:rPr>
            <a:t>YEAR</a:t>
          </a:r>
        </a:p>
      </xdr:txBody>
    </xdr:sp>
    <xdr:clientData fPrintsWithSheet="0"/>
  </xdr:twoCellAnchor>
  <mc:AlternateContent xmlns:mc="http://schemas.openxmlformats.org/markup-compatibility/2006">
    <mc:Choice xmlns:a14="http://schemas.microsoft.com/office/drawing/2010/main" Requires="a14">
      <xdr:twoCellAnchor editAs="oneCell">
        <xdr:from>
          <xdr:col>4</xdr:col>
          <xdr:colOff>609600</xdr:colOff>
          <xdr:row>4</xdr:row>
          <xdr:rowOff>22860</xdr:rowOff>
        </xdr:from>
        <xdr:to>
          <xdr:col>5</xdr:col>
          <xdr:colOff>0</xdr:colOff>
          <xdr:row>4</xdr:row>
          <xdr:rowOff>297180</xdr:rowOff>
        </xdr:to>
        <xdr:sp macro="" textlink="">
          <xdr:nvSpPr>
            <xdr:cNvPr id="109576" name="Drop Down 8" hidden="1">
              <a:extLst>
                <a:ext uri="{63B3BB69-23CF-44E3-9099-C40C66FF867C}">
                  <a14:compatExt spid="_x0000_s109576"/>
                </a:ext>
                <a:ext uri="{FF2B5EF4-FFF2-40B4-BE49-F238E27FC236}">
                  <a16:creationId xmlns:a16="http://schemas.microsoft.com/office/drawing/2014/main" id="{00000000-0008-0000-0600-000008A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7</xdr:col>
      <xdr:colOff>259080</xdr:colOff>
      <xdr:row>1</xdr:row>
      <xdr:rowOff>99060</xdr:rowOff>
    </xdr:from>
    <xdr:to>
      <xdr:col>22</xdr:col>
      <xdr:colOff>205740</xdr:colOff>
      <xdr:row>2</xdr:row>
      <xdr:rowOff>198120</xdr:rowOff>
    </xdr:to>
    <xdr:sp macro="" textlink="">
      <xdr:nvSpPr>
        <xdr:cNvPr id="25" name="Rectangle 24">
          <a:extLst>
            <a:ext uri="{FF2B5EF4-FFF2-40B4-BE49-F238E27FC236}">
              <a16:creationId xmlns:a16="http://schemas.microsoft.com/office/drawing/2014/main" id="{00000000-0008-0000-0600-000019000000}"/>
            </a:ext>
          </a:extLst>
        </xdr:cNvPr>
        <xdr:cNvSpPr/>
      </xdr:nvSpPr>
      <xdr:spPr>
        <a:xfrm>
          <a:off x="3764280" y="99060"/>
          <a:ext cx="7033260" cy="304800"/>
        </a:xfrm>
        <a:prstGeom prst="rect">
          <a:avLst/>
        </a:prstGeom>
        <a:noFill/>
        <a:ln>
          <a:noFill/>
        </a:ln>
        <a:effectLst>
          <a:outerShdw blurRad="63500" sx="102000" sy="102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lIns="36000" tIns="36000" rIns="36000" bIns="36000" rtlCol="0" anchor="ctr"/>
        <a:lstStyle/>
        <a:p>
          <a:pPr algn="r"/>
          <a:r>
            <a:rPr lang="en-GB" sz="1000" b="1">
              <a:solidFill>
                <a:schemeClr val="tx1">
                  <a:lumMod val="65000"/>
                  <a:lumOff val="35000"/>
                </a:schemeClr>
              </a:solidFill>
            </a:rPr>
            <a:t>Pressing this on-screen "Home" button on</a:t>
          </a:r>
          <a:r>
            <a:rPr lang="en-GB" sz="1000" b="1" baseline="0">
              <a:solidFill>
                <a:schemeClr val="tx1">
                  <a:lumMod val="65000"/>
                  <a:lumOff val="35000"/>
                </a:schemeClr>
              </a:solidFill>
            </a:rPr>
            <a:t> any sheet of the report takes you back to the navigation page</a:t>
          </a:r>
          <a:endParaRPr lang="en-GB" sz="1000" b="0" i="1" baseline="0">
            <a:solidFill>
              <a:schemeClr val="tx1">
                <a:lumMod val="65000"/>
                <a:lumOff val="35000"/>
              </a:schemeClr>
            </a:solidFill>
          </a:endParaRPr>
        </a:p>
      </xdr:txBody>
    </xdr:sp>
    <xdr:clientData fPrintsWithSheet="0"/>
  </xdr:twoCellAnchor>
  <xdr:twoCellAnchor>
    <xdr:from>
      <xdr:col>22</xdr:col>
      <xdr:colOff>255270</xdr:colOff>
      <xdr:row>2</xdr:row>
      <xdr:rowOff>19050</xdr:rowOff>
    </xdr:from>
    <xdr:to>
      <xdr:col>23</xdr:col>
      <xdr:colOff>213360</xdr:colOff>
      <xdr:row>2</xdr:row>
      <xdr:rowOff>289560</xdr:rowOff>
    </xdr:to>
    <xdr:sp macro="" textlink="">
      <xdr:nvSpPr>
        <xdr:cNvPr id="26" name="Bent Arrow 25">
          <a:extLst>
            <a:ext uri="{FF2B5EF4-FFF2-40B4-BE49-F238E27FC236}">
              <a16:creationId xmlns:a16="http://schemas.microsoft.com/office/drawing/2014/main" id="{00000000-0008-0000-0600-00001A000000}"/>
            </a:ext>
          </a:extLst>
        </xdr:cNvPr>
        <xdr:cNvSpPr/>
      </xdr:nvSpPr>
      <xdr:spPr>
        <a:xfrm rot="5400000">
          <a:off x="10927080" y="144780"/>
          <a:ext cx="270510" cy="430530"/>
        </a:xfrm>
        <a:prstGeom prst="bentArrow">
          <a:avLst/>
        </a:prstGeom>
        <a:solidFill>
          <a:schemeClr val="bg1">
            <a:lumMod val="85000"/>
          </a:schemeClr>
        </a:solidFill>
        <a:ln w="22225">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chemeClr val="tx1"/>
            </a:solidFill>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13</xdr:col>
      <xdr:colOff>304800</xdr:colOff>
      <xdr:row>4</xdr:row>
      <xdr:rowOff>0</xdr:rowOff>
    </xdr:from>
    <xdr:to>
      <xdr:col>16</xdr:col>
      <xdr:colOff>138840</xdr:colOff>
      <xdr:row>4</xdr:row>
      <xdr:rowOff>327600</xdr:rowOff>
    </xdr:to>
    <xdr:sp macro="" textlink="">
      <xdr:nvSpPr>
        <xdr:cNvPr id="33" name="Rectangle 32">
          <a:extLst>
            <a:ext uri="{FF2B5EF4-FFF2-40B4-BE49-F238E27FC236}">
              <a16:creationId xmlns:a16="http://schemas.microsoft.com/office/drawing/2014/main" id="{00000000-0008-0000-0700-000021000000}"/>
            </a:ext>
          </a:extLst>
        </xdr:cNvPr>
        <xdr:cNvSpPr/>
      </xdr:nvSpPr>
      <xdr:spPr>
        <a:xfrm>
          <a:off x="6448425" y="866775"/>
          <a:ext cx="1205640" cy="327600"/>
        </a:xfrm>
        <a:prstGeom prst="rect">
          <a:avLst/>
        </a:prstGeom>
        <a:solidFill>
          <a:schemeClr val="accent1"/>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lIns="0" tIns="0" rIns="0" bIns="0" rtlCol="0" anchor="ctr"/>
        <a:lstStyle/>
        <a:p>
          <a:pPr algn="ctr"/>
          <a:r>
            <a:rPr lang="en-GB" sz="900" b="1">
              <a:solidFill>
                <a:schemeClr val="bg1"/>
              </a:solidFill>
            </a:rPr>
            <a:t>INDEXATION</a:t>
          </a:r>
        </a:p>
        <a:p>
          <a:pPr algn="ctr"/>
          <a:r>
            <a:rPr lang="en-GB" sz="900" b="0">
              <a:solidFill>
                <a:schemeClr val="bg1"/>
              </a:solidFill>
            </a:rPr>
            <a:t>Reflect Price</a:t>
          </a:r>
          <a:r>
            <a:rPr lang="en-GB" sz="900" b="0" baseline="0">
              <a:solidFill>
                <a:schemeClr val="bg1"/>
              </a:solidFill>
            </a:rPr>
            <a:t> Inflation?</a:t>
          </a:r>
          <a:endParaRPr lang="en-GB" sz="900" b="0">
            <a:solidFill>
              <a:schemeClr val="bg1"/>
            </a:solidFill>
          </a:endParaRPr>
        </a:p>
      </xdr:txBody>
    </xdr:sp>
    <xdr:clientData fPrintsWithSheet="0"/>
  </xdr:twoCellAnchor>
  <xdr:twoCellAnchor>
    <xdr:from>
      <xdr:col>4</xdr:col>
      <xdr:colOff>91441</xdr:colOff>
      <xdr:row>1</xdr:row>
      <xdr:rowOff>106680</xdr:rowOff>
    </xdr:from>
    <xdr:to>
      <xdr:col>4</xdr:col>
      <xdr:colOff>358141</xdr:colOff>
      <xdr:row>2</xdr:row>
      <xdr:rowOff>260040</xdr:rowOff>
    </xdr:to>
    <xdr:pic>
      <xdr:nvPicPr>
        <xdr:cNvPr id="2" name="Picture 1" descr="logovvsm.jpg">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stretch>
          <a:fillRect/>
        </a:stretch>
      </xdr:blipFill>
      <xdr:spPr>
        <a:xfrm>
          <a:off x="1432561" y="106680"/>
          <a:ext cx="266700" cy="359100"/>
        </a:xfrm>
        <a:prstGeom prst="roundRect">
          <a:avLst>
            <a:gd name="adj" fmla="val 8594"/>
          </a:avLst>
        </a:prstGeom>
        <a:solidFill>
          <a:srgbClr val="FFFFFF">
            <a:shade val="85000"/>
          </a:srgbClr>
        </a:solidFill>
        <a:ln>
          <a:noFill/>
        </a:ln>
        <a:effectLst>
          <a:outerShdw blurRad="63500" sx="102000" sy="102000" algn="ctr" rotWithShape="0">
            <a:prstClr val="black">
              <a:alpha val="40000"/>
            </a:prstClr>
          </a:outerShdw>
        </a:effectLst>
      </xdr:spPr>
    </xdr:pic>
    <xdr:clientData/>
  </xdr:twoCellAnchor>
  <xdr:twoCellAnchor>
    <xdr:from>
      <xdr:col>4</xdr:col>
      <xdr:colOff>403860</xdr:colOff>
      <xdr:row>1</xdr:row>
      <xdr:rowOff>99060</xdr:rowOff>
    </xdr:from>
    <xdr:to>
      <xdr:col>7</xdr:col>
      <xdr:colOff>251460</xdr:colOff>
      <xdr:row>2</xdr:row>
      <xdr:rowOff>274320</xdr:rowOff>
    </xdr:to>
    <xdr:sp macro="" textlink="REP.gts">
      <xdr:nvSpPr>
        <xdr:cNvPr id="3" name="TextBox 2">
          <a:extLst>
            <a:ext uri="{FF2B5EF4-FFF2-40B4-BE49-F238E27FC236}">
              <a16:creationId xmlns:a16="http://schemas.microsoft.com/office/drawing/2014/main" id="{00000000-0008-0000-0700-000003000000}"/>
            </a:ext>
          </a:extLst>
        </xdr:cNvPr>
        <xdr:cNvSpPr txBox="1"/>
      </xdr:nvSpPr>
      <xdr:spPr>
        <a:xfrm>
          <a:off x="1744980" y="99060"/>
          <a:ext cx="2011680" cy="381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fld id="{3BA988AB-649B-451C-8315-D0DA89BAC50D}" type="TxLink">
            <a:rPr lang="en-US" sz="900" b="1" i="0" u="none" strike="noStrike">
              <a:solidFill>
                <a:srgbClr val="000000"/>
              </a:solidFill>
              <a:latin typeface="+mn-lt"/>
            </a:rPr>
            <a:pPr algn="l"/>
            <a:t>Global Tourism Solutions (UK) Ltd</a:t>
          </a:fld>
          <a:endParaRPr lang="en-GB" sz="900" b="1">
            <a:latin typeface="+mn-lt"/>
          </a:endParaRPr>
        </a:p>
      </xdr:txBody>
    </xdr:sp>
    <xdr:clientData/>
  </xdr:twoCellAnchor>
  <xdr:twoCellAnchor>
    <xdr:from>
      <xdr:col>4</xdr:col>
      <xdr:colOff>60960</xdr:colOff>
      <xdr:row>3</xdr:row>
      <xdr:rowOff>15240</xdr:rowOff>
    </xdr:from>
    <xdr:to>
      <xdr:col>21</xdr:col>
      <xdr:colOff>45720</xdr:colOff>
      <xdr:row>3</xdr:row>
      <xdr:rowOff>320040</xdr:rowOff>
    </xdr:to>
    <xdr:sp macro="" textlink="">
      <xdr:nvSpPr>
        <xdr:cNvPr id="4" name="Rectangle 3">
          <a:extLst>
            <a:ext uri="{FF2B5EF4-FFF2-40B4-BE49-F238E27FC236}">
              <a16:creationId xmlns:a16="http://schemas.microsoft.com/office/drawing/2014/main" id="{00000000-0008-0000-0700-000004000000}"/>
            </a:ext>
          </a:extLst>
        </xdr:cNvPr>
        <xdr:cNvSpPr/>
      </xdr:nvSpPr>
      <xdr:spPr>
        <a:xfrm>
          <a:off x="1402080" y="556260"/>
          <a:ext cx="8763000" cy="304800"/>
        </a:xfrm>
        <a:prstGeom prst="rect">
          <a:avLst/>
        </a:prstGeom>
        <a:noFill/>
        <a:ln>
          <a:noFill/>
        </a:ln>
        <a:effectLst>
          <a:outerShdw blurRad="63500" sx="102000" sy="102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lIns="36000" tIns="36000" rIns="36000" bIns="36000" rtlCol="0" anchor="ctr"/>
        <a:lstStyle/>
        <a:p>
          <a:pPr algn="l"/>
          <a:r>
            <a:rPr lang="en-GB" sz="1000" b="1">
              <a:solidFill>
                <a:schemeClr val="bg1"/>
              </a:solidFill>
            </a:rPr>
            <a:t>REPORT CONTROLS </a:t>
          </a:r>
          <a:r>
            <a:rPr lang="en-GB" sz="1000" b="0" i="1">
              <a:solidFill>
                <a:schemeClr val="bg1"/>
              </a:solidFill>
            </a:rPr>
            <a:t>- Please adjust the report outputs</a:t>
          </a:r>
          <a:r>
            <a:rPr lang="en-GB" sz="1000" b="0" i="1" baseline="0">
              <a:solidFill>
                <a:schemeClr val="bg1"/>
              </a:solidFill>
            </a:rPr>
            <a:t> using the drop-down controls below</a:t>
          </a:r>
        </a:p>
      </xdr:txBody>
    </xdr:sp>
    <xdr:clientData fPrintsWithSheet="0"/>
  </xdr:twoCellAnchor>
  <xdr:twoCellAnchor editAs="oneCell">
    <xdr:from>
      <xdr:col>22</xdr:col>
      <xdr:colOff>320041</xdr:colOff>
      <xdr:row>3</xdr:row>
      <xdr:rowOff>45721</xdr:rowOff>
    </xdr:from>
    <xdr:to>
      <xdr:col>23</xdr:col>
      <xdr:colOff>398146</xdr:colOff>
      <xdr:row>4</xdr:row>
      <xdr:rowOff>299165</xdr:rowOff>
    </xdr:to>
    <xdr:pic>
      <xdr:nvPicPr>
        <xdr:cNvPr id="5" name="Picture 4">
          <a:hlinkClick xmlns:r="http://schemas.openxmlformats.org/officeDocument/2006/relationships" r:id="rId2" tooltip="Home - Navigation Page"/>
          <a:extLst>
            <a:ext uri="{FF2B5EF4-FFF2-40B4-BE49-F238E27FC236}">
              <a16:creationId xmlns:a16="http://schemas.microsoft.com/office/drawing/2014/main" id="{00000000-0008-0000-0700-000005000000}"/>
            </a:ext>
          </a:extLst>
        </xdr:cNvPr>
        <xdr:cNvPicPr>
          <a:picLocks noChangeAspect="1"/>
        </xdr:cNvPicPr>
      </xdr:nvPicPr>
      <xdr:blipFill>
        <a:blip xmlns:r="http://schemas.openxmlformats.org/officeDocument/2006/relationships" r:embed="rId3" cstate="print">
          <a:grayscl/>
          <a:extLst>
            <a:ext uri="{28A0092B-C50C-407E-A947-70E740481C1C}">
              <a14:useLocalDpi xmlns:a14="http://schemas.microsoft.com/office/drawing/2010/main" val="0"/>
            </a:ext>
          </a:extLst>
        </a:blip>
        <a:stretch>
          <a:fillRect/>
        </a:stretch>
      </xdr:blipFill>
      <xdr:spPr>
        <a:xfrm>
          <a:off x="10911841" y="586741"/>
          <a:ext cx="579120" cy="588724"/>
        </a:xfrm>
        <a:prstGeom prst="rect">
          <a:avLst/>
        </a:prstGeom>
      </xdr:spPr>
    </xdr:pic>
    <xdr:clientData/>
  </xdr:twoCellAnchor>
  <xdr:twoCellAnchor>
    <xdr:from>
      <xdr:col>4</xdr:col>
      <xdr:colOff>30480</xdr:colOff>
      <xdr:row>9</xdr:row>
      <xdr:rowOff>38100</xdr:rowOff>
    </xdr:from>
    <xdr:to>
      <xdr:col>13</xdr:col>
      <xdr:colOff>457200</xdr:colOff>
      <xdr:row>18</xdr:row>
      <xdr:rowOff>166440</xdr:rowOff>
    </xdr:to>
    <xdr:graphicFrame macro="">
      <xdr:nvGraphicFramePr>
        <xdr:cNvPr id="6" name="Chart 5">
          <a:extLst>
            <a:ext uri="{FF2B5EF4-FFF2-40B4-BE49-F238E27FC236}">
              <a16:creationId xmlns:a16="http://schemas.microsoft.com/office/drawing/2014/main" id="{00000000-0008-0000-07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mc:AlternateContent xmlns:mc="http://schemas.openxmlformats.org/markup-compatibility/2006">
    <mc:Choice xmlns:a14="http://schemas.microsoft.com/office/drawing/2010/main" Requires="a14">
      <xdr:twoCellAnchor editAs="oneCell">
        <xdr:from>
          <xdr:col>16</xdr:col>
          <xdr:colOff>76200</xdr:colOff>
          <xdr:row>4</xdr:row>
          <xdr:rowOff>22860</xdr:rowOff>
        </xdr:from>
        <xdr:to>
          <xdr:col>17</xdr:col>
          <xdr:colOff>297180</xdr:colOff>
          <xdr:row>4</xdr:row>
          <xdr:rowOff>297180</xdr:rowOff>
        </xdr:to>
        <xdr:sp macro="" textlink="">
          <xdr:nvSpPr>
            <xdr:cNvPr id="139266" name="Drop Down 2" hidden="1">
              <a:extLst>
                <a:ext uri="{63B3BB69-23CF-44E3-9099-C40C66FF867C}">
                  <a14:compatExt spid="_x0000_s139266"/>
                </a:ext>
                <a:ext uri="{FF2B5EF4-FFF2-40B4-BE49-F238E27FC236}">
                  <a16:creationId xmlns:a16="http://schemas.microsoft.com/office/drawing/2014/main" id="{00000000-0008-0000-0700-0000022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7</xdr:col>
      <xdr:colOff>411480</xdr:colOff>
      <xdr:row>3</xdr:row>
      <xdr:rowOff>304800</xdr:rowOff>
    </xdr:from>
    <xdr:to>
      <xdr:col>9</xdr:col>
      <xdr:colOff>419100</xdr:colOff>
      <xdr:row>4</xdr:row>
      <xdr:rowOff>329520</xdr:rowOff>
    </xdr:to>
    <xdr:sp macro="" textlink="">
      <xdr:nvSpPr>
        <xdr:cNvPr id="14" name="Rectangle 13">
          <a:extLst>
            <a:ext uri="{FF2B5EF4-FFF2-40B4-BE49-F238E27FC236}">
              <a16:creationId xmlns:a16="http://schemas.microsoft.com/office/drawing/2014/main" id="{00000000-0008-0000-0700-00000E000000}"/>
            </a:ext>
          </a:extLst>
        </xdr:cNvPr>
        <xdr:cNvSpPr/>
      </xdr:nvSpPr>
      <xdr:spPr>
        <a:xfrm>
          <a:off x="3916680" y="845820"/>
          <a:ext cx="952500" cy="360000"/>
        </a:xfrm>
        <a:prstGeom prst="rect">
          <a:avLst/>
        </a:prstGeom>
        <a:noFill/>
        <a:ln>
          <a:noFill/>
        </a:ln>
        <a:effectLst>
          <a:outerShdw blurRad="63500" sx="101000" sy="101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lIns="36000" tIns="36000" rIns="36000" bIns="36000" rtlCol="0" anchor="ctr"/>
        <a:lstStyle/>
        <a:p>
          <a:pPr algn="ctr"/>
          <a:r>
            <a:rPr lang="en-GB" sz="900" b="1">
              <a:solidFill>
                <a:schemeClr val="bg1"/>
              </a:solidFill>
            </a:rPr>
            <a:t>VISITOR</a:t>
          </a:r>
        </a:p>
        <a:p>
          <a:pPr algn="ctr"/>
          <a:r>
            <a:rPr lang="en-GB" sz="900" b="1">
              <a:solidFill>
                <a:schemeClr val="bg1"/>
              </a:solidFill>
            </a:rPr>
            <a:t>TYPE</a:t>
          </a:r>
        </a:p>
      </xdr:txBody>
    </xdr:sp>
    <xdr:clientData fPrintsWithSheet="0"/>
  </xdr:twoCellAnchor>
  <mc:AlternateContent xmlns:mc="http://schemas.openxmlformats.org/markup-compatibility/2006">
    <mc:Choice xmlns:a14="http://schemas.microsoft.com/office/drawing/2010/main" Requires="a14">
      <xdr:twoCellAnchor editAs="oneCell">
        <xdr:from>
          <xdr:col>9</xdr:col>
          <xdr:colOff>175260</xdr:colOff>
          <xdr:row>4</xdr:row>
          <xdr:rowOff>22860</xdr:rowOff>
        </xdr:from>
        <xdr:to>
          <xdr:col>13</xdr:col>
          <xdr:colOff>152400</xdr:colOff>
          <xdr:row>4</xdr:row>
          <xdr:rowOff>297180</xdr:rowOff>
        </xdr:to>
        <xdr:sp macro="" textlink="">
          <xdr:nvSpPr>
            <xdr:cNvPr id="139267" name="Drop Down 3" hidden="1">
              <a:extLst>
                <a:ext uri="{63B3BB69-23CF-44E3-9099-C40C66FF867C}">
                  <a14:compatExt spid="_x0000_s139267"/>
                </a:ext>
                <a:ext uri="{FF2B5EF4-FFF2-40B4-BE49-F238E27FC236}">
                  <a16:creationId xmlns:a16="http://schemas.microsoft.com/office/drawing/2014/main" id="{00000000-0008-0000-0700-0000032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7</xdr:col>
      <xdr:colOff>236220</xdr:colOff>
      <xdr:row>1</xdr:row>
      <xdr:rowOff>91440</xdr:rowOff>
    </xdr:from>
    <xdr:to>
      <xdr:col>22</xdr:col>
      <xdr:colOff>182880</xdr:colOff>
      <xdr:row>2</xdr:row>
      <xdr:rowOff>190500</xdr:rowOff>
    </xdr:to>
    <xdr:sp macro="" textlink="">
      <xdr:nvSpPr>
        <xdr:cNvPr id="16" name="Rectangle 15">
          <a:extLst>
            <a:ext uri="{FF2B5EF4-FFF2-40B4-BE49-F238E27FC236}">
              <a16:creationId xmlns:a16="http://schemas.microsoft.com/office/drawing/2014/main" id="{00000000-0008-0000-0700-000010000000}"/>
            </a:ext>
          </a:extLst>
        </xdr:cNvPr>
        <xdr:cNvSpPr/>
      </xdr:nvSpPr>
      <xdr:spPr>
        <a:xfrm>
          <a:off x="3741420" y="91440"/>
          <a:ext cx="7033260" cy="304800"/>
        </a:xfrm>
        <a:prstGeom prst="rect">
          <a:avLst/>
        </a:prstGeom>
        <a:noFill/>
        <a:ln>
          <a:noFill/>
        </a:ln>
        <a:effectLst>
          <a:outerShdw blurRad="63500" sx="102000" sy="102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lIns="36000" tIns="36000" rIns="36000" bIns="36000" rtlCol="0" anchor="ctr"/>
        <a:lstStyle/>
        <a:p>
          <a:pPr algn="r"/>
          <a:r>
            <a:rPr lang="en-GB" sz="1000" b="1">
              <a:solidFill>
                <a:schemeClr val="tx1">
                  <a:lumMod val="65000"/>
                  <a:lumOff val="35000"/>
                </a:schemeClr>
              </a:solidFill>
            </a:rPr>
            <a:t>Pressing this on-screen "Home" button on</a:t>
          </a:r>
          <a:r>
            <a:rPr lang="en-GB" sz="1000" b="1" baseline="0">
              <a:solidFill>
                <a:schemeClr val="tx1">
                  <a:lumMod val="65000"/>
                  <a:lumOff val="35000"/>
                </a:schemeClr>
              </a:solidFill>
            </a:rPr>
            <a:t> any sheet of the report takes you back to the navigation page</a:t>
          </a:r>
          <a:endParaRPr lang="en-GB" sz="1000" b="0" i="1" baseline="0">
            <a:solidFill>
              <a:schemeClr val="tx1">
                <a:lumMod val="65000"/>
                <a:lumOff val="35000"/>
              </a:schemeClr>
            </a:solidFill>
          </a:endParaRPr>
        </a:p>
      </xdr:txBody>
    </xdr:sp>
    <xdr:clientData fPrintsWithSheet="0"/>
  </xdr:twoCellAnchor>
  <xdr:twoCellAnchor>
    <xdr:from>
      <xdr:col>22</xdr:col>
      <xdr:colOff>232410</xdr:colOff>
      <xdr:row>2</xdr:row>
      <xdr:rowOff>11430</xdr:rowOff>
    </xdr:from>
    <xdr:to>
      <xdr:col>23</xdr:col>
      <xdr:colOff>190500</xdr:colOff>
      <xdr:row>2</xdr:row>
      <xdr:rowOff>281940</xdr:rowOff>
    </xdr:to>
    <xdr:sp macro="" textlink="">
      <xdr:nvSpPr>
        <xdr:cNvPr id="17" name="Bent Arrow 16">
          <a:extLst>
            <a:ext uri="{FF2B5EF4-FFF2-40B4-BE49-F238E27FC236}">
              <a16:creationId xmlns:a16="http://schemas.microsoft.com/office/drawing/2014/main" id="{00000000-0008-0000-0700-000011000000}"/>
            </a:ext>
          </a:extLst>
        </xdr:cNvPr>
        <xdr:cNvSpPr/>
      </xdr:nvSpPr>
      <xdr:spPr>
        <a:xfrm rot="5400000">
          <a:off x="10904220" y="137160"/>
          <a:ext cx="270510" cy="430530"/>
        </a:xfrm>
        <a:prstGeom prst="bentArrow">
          <a:avLst/>
        </a:prstGeom>
        <a:solidFill>
          <a:schemeClr val="bg1">
            <a:lumMod val="85000"/>
          </a:schemeClr>
        </a:solidFill>
        <a:ln w="22225">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chemeClr val="tx1"/>
            </a:solidFill>
          </a:endParaRPr>
        </a:p>
      </xdr:txBody>
    </xdr:sp>
    <xdr:clientData/>
  </xdr:twoCellAnchor>
  <xdr:twoCellAnchor>
    <xdr:from>
      <xdr:col>18</xdr:col>
      <xdr:colOff>40005</xdr:colOff>
      <xdr:row>26</xdr:row>
      <xdr:rowOff>125729</xdr:rowOff>
    </xdr:from>
    <xdr:to>
      <xdr:col>18</xdr:col>
      <xdr:colOff>346709</xdr:colOff>
      <xdr:row>27</xdr:row>
      <xdr:rowOff>81915</xdr:rowOff>
    </xdr:to>
    <xdr:sp macro="" textlink="$F$29">
      <xdr:nvSpPr>
        <xdr:cNvPr id="18" name="TextBox 17">
          <a:extLst>
            <a:ext uri="{FF2B5EF4-FFF2-40B4-BE49-F238E27FC236}">
              <a16:creationId xmlns:a16="http://schemas.microsoft.com/office/drawing/2014/main" id="{00000000-0008-0000-0700-000012000000}"/>
            </a:ext>
          </a:extLst>
        </xdr:cNvPr>
        <xdr:cNvSpPr txBox="1"/>
      </xdr:nvSpPr>
      <xdr:spPr>
        <a:xfrm>
          <a:off x="8742045" y="6069329"/>
          <a:ext cx="306704" cy="16192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fld id="{263D66BB-E62C-4EBF-9923-B946FBE9ABDE}" type="TxLink">
            <a:rPr lang="en-US" sz="900" b="1" i="0" u="none" strike="noStrike">
              <a:solidFill>
                <a:sysClr val="windowText" lastClr="000000"/>
              </a:solidFill>
              <a:latin typeface="Calibri"/>
            </a:rPr>
            <a:pPr algn="ctr"/>
            <a:t> </a:t>
          </a:fld>
          <a:endParaRPr lang="en-US" sz="800" b="1" i="0" u="none" strike="noStrike">
            <a:solidFill>
              <a:sysClr val="windowText" lastClr="000000"/>
            </a:solidFill>
            <a:latin typeface="Calibri"/>
          </a:endParaRPr>
        </a:p>
      </xdr:txBody>
    </xdr:sp>
    <xdr:clientData/>
  </xdr:twoCellAnchor>
  <xdr:twoCellAnchor>
    <xdr:from>
      <xdr:col>14</xdr:col>
      <xdr:colOff>22860</xdr:colOff>
      <xdr:row>9</xdr:row>
      <xdr:rowOff>38100</xdr:rowOff>
    </xdr:from>
    <xdr:to>
      <xdr:col>23</xdr:col>
      <xdr:colOff>403860</xdr:colOff>
      <xdr:row>18</xdr:row>
      <xdr:rowOff>166440</xdr:rowOff>
    </xdr:to>
    <xdr:graphicFrame macro="">
      <xdr:nvGraphicFramePr>
        <xdr:cNvPr id="20" name="Chart 19">
          <a:extLst>
            <a:ext uri="{FF2B5EF4-FFF2-40B4-BE49-F238E27FC236}">
              <a16:creationId xmlns:a16="http://schemas.microsoft.com/office/drawing/2014/main" id="{00000000-0008-0000-07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4</xdr:col>
      <xdr:colOff>30480</xdr:colOff>
      <xdr:row>21</xdr:row>
      <xdr:rowOff>38100</xdr:rowOff>
    </xdr:from>
    <xdr:to>
      <xdr:col>13</xdr:col>
      <xdr:colOff>457200</xdr:colOff>
      <xdr:row>30</xdr:row>
      <xdr:rowOff>166440</xdr:rowOff>
    </xdr:to>
    <xdr:graphicFrame macro="">
      <xdr:nvGraphicFramePr>
        <xdr:cNvPr id="22" name="Chart 21">
          <a:extLst>
            <a:ext uri="{FF2B5EF4-FFF2-40B4-BE49-F238E27FC236}">
              <a16:creationId xmlns:a16="http://schemas.microsoft.com/office/drawing/2014/main" id="{00000000-0008-0000-07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14</xdr:col>
      <xdr:colOff>30480</xdr:colOff>
      <xdr:row>21</xdr:row>
      <xdr:rowOff>38100</xdr:rowOff>
    </xdr:from>
    <xdr:to>
      <xdr:col>23</xdr:col>
      <xdr:colOff>411480</xdr:colOff>
      <xdr:row>30</xdr:row>
      <xdr:rowOff>166440</xdr:rowOff>
    </xdr:to>
    <xdr:graphicFrame macro="">
      <xdr:nvGraphicFramePr>
        <xdr:cNvPr id="24" name="Chart 23">
          <a:extLst>
            <a:ext uri="{FF2B5EF4-FFF2-40B4-BE49-F238E27FC236}">
              <a16:creationId xmlns:a16="http://schemas.microsoft.com/office/drawing/2014/main" id="{00000000-0008-0000-07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22860</xdr:colOff>
          <xdr:row>9</xdr:row>
          <xdr:rowOff>53340</xdr:rowOff>
        </xdr:from>
        <xdr:to>
          <xdr:col>4</xdr:col>
          <xdr:colOff>495177</xdr:colOff>
          <xdr:row>18</xdr:row>
          <xdr:rowOff>2029</xdr:rowOff>
        </xdr:to>
        <xdr:pic>
          <xdr:nvPicPr>
            <xdr:cNvPr id="25" name="Picture 24">
              <a:extLst>
                <a:ext uri="{FF2B5EF4-FFF2-40B4-BE49-F238E27FC236}">
                  <a16:creationId xmlns:a16="http://schemas.microsoft.com/office/drawing/2014/main" id="{00000000-0008-0000-0700-000019000000}"/>
                </a:ext>
              </a:extLst>
            </xdr:cNvPr>
            <xdr:cNvPicPr>
              <a:picLocks noChangeAspect="1" noChangeArrowheads="1"/>
              <a:extLst>
                <a:ext uri="{84589F7E-364E-4C9E-8A38-B11213B215E9}">
                  <a14:cameraTool cellRange="'ECONOMIC IMPACT'!$E$17:$E$27" spid="_x0000_s408917"/>
                </a:ext>
              </a:extLst>
            </xdr:cNvPicPr>
          </xdr:nvPicPr>
          <xdr:blipFill rotWithShape="1">
            <a:blip xmlns:r="http://schemas.openxmlformats.org/officeDocument/2006/relationships" r:embed="rId8"/>
            <a:srcRect l="60695" r="-5005"/>
            <a:stretch>
              <a:fillRect/>
            </a:stretch>
          </xdr:blipFill>
          <xdr:spPr bwMode="auto">
            <a:xfrm>
              <a:off x="1363980" y="2087880"/>
              <a:ext cx="472317" cy="1794634"/>
            </a:xfrm>
            <a:prstGeom prst="rect">
              <a:avLst/>
            </a:prstGeom>
            <a:solidFill>
              <a:srgbClr val="FFFFFF" mc:Ignorable="a14" a14:legacySpreadsheetColorIndex="9"/>
            </a:solidFill>
            <a:ln w="9525">
              <a:no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9</xdr:row>
          <xdr:rowOff>53339</xdr:rowOff>
        </xdr:from>
        <xdr:to>
          <xdr:col>4</xdr:col>
          <xdr:colOff>792480</xdr:colOff>
          <xdr:row>17</xdr:row>
          <xdr:rowOff>196030</xdr:rowOff>
        </xdr:to>
        <xdr:pic>
          <xdr:nvPicPr>
            <xdr:cNvPr id="26" name="Picture 25">
              <a:extLst>
                <a:ext uri="{FF2B5EF4-FFF2-40B4-BE49-F238E27FC236}">
                  <a16:creationId xmlns:a16="http://schemas.microsoft.com/office/drawing/2014/main" id="{00000000-0008-0000-0700-00001A000000}"/>
                </a:ext>
              </a:extLst>
            </xdr:cNvPr>
            <xdr:cNvPicPr>
              <a:picLocks noChangeAspect="1" noChangeArrowheads="1"/>
              <a:extLst>
                <a:ext uri="{84589F7E-364E-4C9E-8A38-B11213B215E9}">
                  <a14:cameraTool cellRange="'ECONOMIC IMPACT'!$T$17:$T$27" spid="_x0000_s408918"/>
                </a:ext>
              </a:extLst>
            </xdr:cNvPicPr>
          </xdr:nvPicPr>
          <xdr:blipFill>
            <a:blip xmlns:r="http://schemas.openxmlformats.org/officeDocument/2006/relationships" r:embed="rId9"/>
            <a:srcRect/>
            <a:stretch>
              <a:fillRect/>
            </a:stretch>
          </xdr:blipFill>
          <xdr:spPr bwMode="auto">
            <a:xfrm>
              <a:off x="1760220" y="2087879"/>
              <a:ext cx="373380" cy="1788611"/>
            </a:xfrm>
            <a:prstGeom prst="rect">
              <a:avLst/>
            </a:prstGeom>
            <a:solidFill>
              <a:srgbClr val="FFFFFF" mc:Ignorable="a14" a14:legacySpreadsheetColorIndex="9"/>
            </a:solidFill>
            <a:ln w="9525">
              <a:noFill/>
              <a:miter lim="800000"/>
              <a:headEnd/>
              <a:tailEnd/>
            </a:ln>
          </xdr:spPr>
        </xdr:pic>
        <xdr:clientData/>
      </xdr:twoCellAnchor>
    </mc:Choice>
    <mc:Fallback/>
  </mc:AlternateContent>
  <xdr:oneCellAnchor>
    <xdr:from>
      <xdr:col>3</xdr:col>
      <xdr:colOff>327660</xdr:colOff>
      <xdr:row>8</xdr:row>
      <xdr:rowOff>15686</xdr:rowOff>
    </xdr:from>
    <xdr:ext cx="800100" cy="250453"/>
    <xdr:sp macro="" textlink="">
      <xdr:nvSpPr>
        <xdr:cNvPr id="13" name="TextBox 12">
          <a:extLst>
            <a:ext uri="{FF2B5EF4-FFF2-40B4-BE49-F238E27FC236}">
              <a16:creationId xmlns:a16="http://schemas.microsoft.com/office/drawing/2014/main" id="{00000000-0008-0000-0700-00000D000000}"/>
            </a:ext>
          </a:extLst>
        </xdr:cNvPr>
        <xdr:cNvSpPr txBox="1"/>
      </xdr:nvSpPr>
      <xdr:spPr>
        <a:xfrm>
          <a:off x="1333500" y="1844486"/>
          <a:ext cx="800100" cy="250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spAutoFit/>
        </a:bodyPr>
        <a:lstStyle/>
        <a:p>
          <a:pPr algn="ctr"/>
          <a:r>
            <a:rPr lang="en-GB" sz="800" b="1"/>
            <a:t>% Change</a:t>
          </a:r>
        </a:p>
        <a:p>
          <a:pPr algn="ctr"/>
          <a:r>
            <a:rPr lang="en-GB" sz="800" b="1"/>
            <a:t>Year on Year</a:t>
          </a:r>
        </a:p>
      </xdr:txBody>
    </xdr:sp>
    <xdr:clientData/>
  </xdr:oneCellAnchor>
  <xdr:twoCellAnchor>
    <xdr:from>
      <xdr:col>17</xdr:col>
      <xdr:colOff>297180</xdr:colOff>
      <xdr:row>3</xdr:row>
      <xdr:rowOff>297180</xdr:rowOff>
    </xdr:from>
    <xdr:to>
      <xdr:col>21</xdr:col>
      <xdr:colOff>207420</xdr:colOff>
      <xdr:row>4</xdr:row>
      <xdr:rowOff>321900</xdr:rowOff>
    </xdr:to>
    <xdr:sp macro="" textlink="">
      <xdr:nvSpPr>
        <xdr:cNvPr id="31" name="Rectangle 30">
          <a:extLst>
            <a:ext uri="{FF2B5EF4-FFF2-40B4-BE49-F238E27FC236}">
              <a16:creationId xmlns:a16="http://schemas.microsoft.com/office/drawing/2014/main" id="{00000000-0008-0000-0700-00001F000000}"/>
            </a:ext>
          </a:extLst>
        </xdr:cNvPr>
        <xdr:cNvSpPr/>
      </xdr:nvSpPr>
      <xdr:spPr>
        <a:xfrm>
          <a:off x="8526780" y="838200"/>
          <a:ext cx="1800000" cy="360000"/>
        </a:xfrm>
        <a:prstGeom prst="rect">
          <a:avLst/>
        </a:prstGeom>
        <a:noFill/>
        <a:ln>
          <a:noFill/>
        </a:ln>
        <a:effectLst>
          <a:outerShdw blurRad="63500" sx="101000" sy="101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lIns="36000" tIns="36000" rIns="36000" bIns="36000" rtlCol="0" anchor="ctr"/>
        <a:lstStyle/>
        <a:p>
          <a:pPr algn="ctr"/>
          <a:r>
            <a:rPr lang="en-GB" sz="900" b="1">
              <a:solidFill>
                <a:schemeClr val="bg1"/>
              </a:solidFill>
            </a:rPr>
            <a:t>HIGHLIGHT</a:t>
          </a:r>
          <a:r>
            <a:rPr lang="en-GB" sz="900" b="1" baseline="0">
              <a:solidFill>
                <a:schemeClr val="bg1"/>
              </a:solidFill>
            </a:rPr>
            <a:t> % CHANGES</a:t>
          </a:r>
        </a:p>
        <a:p>
          <a:pPr algn="ctr"/>
          <a:r>
            <a:rPr lang="en-GB" sz="900" b="1" baseline="0">
              <a:solidFill>
                <a:schemeClr val="bg1"/>
              </a:solidFill>
            </a:rPr>
            <a:t>GREATER THAN OR EQUAL TO:</a:t>
          </a:r>
        </a:p>
      </xdr:txBody>
    </xdr:sp>
    <xdr:clientData fPrintsWithSheet="0"/>
  </xdr:twoCellAnchor>
  <mc:AlternateContent xmlns:mc="http://schemas.openxmlformats.org/markup-compatibility/2006">
    <mc:Choice xmlns:a14="http://schemas.microsoft.com/office/drawing/2010/main" Requires="a14">
      <xdr:twoCellAnchor editAs="oneCell">
        <xdr:from>
          <xdr:col>21</xdr:col>
          <xdr:colOff>198120</xdr:colOff>
          <xdr:row>4</xdr:row>
          <xdr:rowOff>22860</xdr:rowOff>
        </xdr:from>
        <xdr:to>
          <xdr:col>22</xdr:col>
          <xdr:colOff>289560</xdr:colOff>
          <xdr:row>4</xdr:row>
          <xdr:rowOff>289560</xdr:rowOff>
        </xdr:to>
        <xdr:sp macro="" textlink="">
          <xdr:nvSpPr>
            <xdr:cNvPr id="139270" name="Drop Down 6" hidden="1">
              <a:extLst>
                <a:ext uri="{63B3BB69-23CF-44E3-9099-C40C66FF867C}">
                  <a14:compatExt spid="_x0000_s139270"/>
                </a:ext>
                <a:ext uri="{FF2B5EF4-FFF2-40B4-BE49-F238E27FC236}">
                  <a16:creationId xmlns:a16="http://schemas.microsoft.com/office/drawing/2014/main" id="{00000000-0008-0000-0700-0000062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30480</xdr:colOff>
          <xdr:row>9</xdr:row>
          <xdr:rowOff>38100</xdr:rowOff>
        </xdr:from>
        <xdr:to>
          <xdr:col>15</xdr:col>
          <xdr:colOff>1782</xdr:colOff>
          <xdr:row>17</xdr:row>
          <xdr:rowOff>186814</xdr:rowOff>
        </xdr:to>
        <xdr:pic>
          <xdr:nvPicPr>
            <xdr:cNvPr id="32" name="Picture 31">
              <a:extLst>
                <a:ext uri="{FF2B5EF4-FFF2-40B4-BE49-F238E27FC236}">
                  <a16:creationId xmlns:a16="http://schemas.microsoft.com/office/drawing/2014/main" id="{00000000-0008-0000-0700-000020000000}"/>
                </a:ext>
              </a:extLst>
            </xdr:cNvPr>
            <xdr:cNvPicPr>
              <a:picLocks noChangeAspect="1" noChangeArrowheads="1"/>
              <a:extLst>
                <a:ext uri="{84589F7E-364E-4C9E-8A38-B11213B215E9}">
                  <a14:cameraTool cellRange="'VISITOR NUMBERS'!$E$17:$E$27" spid="_x0000_s408919"/>
                </a:ext>
              </a:extLst>
            </xdr:cNvPicPr>
          </xdr:nvPicPr>
          <xdr:blipFill rotWithShape="1">
            <a:blip xmlns:r="http://schemas.openxmlformats.org/officeDocument/2006/relationships" r:embed="rId8"/>
            <a:srcRect l="60695" r="-5005"/>
            <a:stretch>
              <a:fillRect/>
            </a:stretch>
          </xdr:blipFill>
          <xdr:spPr bwMode="auto">
            <a:xfrm>
              <a:off x="6842760" y="2072640"/>
              <a:ext cx="472317" cy="1794634"/>
            </a:xfrm>
            <a:prstGeom prst="rect">
              <a:avLst/>
            </a:prstGeom>
            <a:solidFill>
              <a:srgbClr val="FFFFFF" mc:Ignorable="a14" a14:legacySpreadsheetColorIndex="9"/>
            </a:solidFill>
            <a:ln w="9525">
              <a:no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407670</xdr:colOff>
          <xdr:row>9</xdr:row>
          <xdr:rowOff>38099</xdr:rowOff>
        </xdr:from>
        <xdr:to>
          <xdr:col>15</xdr:col>
          <xdr:colOff>280035</xdr:colOff>
          <xdr:row>17</xdr:row>
          <xdr:rowOff>180790</xdr:rowOff>
        </xdr:to>
        <xdr:pic>
          <xdr:nvPicPr>
            <xdr:cNvPr id="39" name="Picture 38">
              <a:extLst>
                <a:ext uri="{FF2B5EF4-FFF2-40B4-BE49-F238E27FC236}">
                  <a16:creationId xmlns:a16="http://schemas.microsoft.com/office/drawing/2014/main" id="{00000000-0008-0000-0700-000027000000}"/>
                </a:ext>
              </a:extLst>
            </xdr:cNvPr>
            <xdr:cNvPicPr>
              <a:picLocks noChangeAspect="1" noChangeArrowheads="1"/>
              <a:extLst>
                <a:ext uri="{84589F7E-364E-4C9E-8A38-B11213B215E9}">
                  <a14:cameraTool cellRange="'VISITOR NUMBERS'!$T$17:$T$27" spid="_x0000_s408920"/>
                </a:ext>
              </a:extLst>
            </xdr:cNvPicPr>
          </xdr:nvPicPr>
          <xdr:blipFill>
            <a:blip xmlns:r="http://schemas.openxmlformats.org/officeDocument/2006/relationships" r:embed="rId10"/>
            <a:srcRect/>
            <a:stretch>
              <a:fillRect/>
            </a:stretch>
          </xdr:blipFill>
          <xdr:spPr bwMode="auto">
            <a:xfrm>
              <a:off x="7008495" y="2038349"/>
              <a:ext cx="358140" cy="1742891"/>
            </a:xfrm>
            <a:prstGeom prst="rect">
              <a:avLst/>
            </a:prstGeom>
            <a:solidFill>
              <a:srgbClr val="FFFFFF" mc:Ignorable="a14" a14:legacySpreadsheetColorIndex="9"/>
            </a:solidFill>
            <a:ln w="9525">
              <a:noFill/>
              <a:miter lim="800000"/>
              <a:headEnd/>
              <a:tailEnd/>
            </a:ln>
          </xdr:spPr>
        </xdr:pic>
        <xdr:clientData/>
      </xdr:twoCellAnchor>
    </mc:Choice>
    <mc:Fallback/>
  </mc:AlternateContent>
  <xdr:oneCellAnchor>
    <xdr:from>
      <xdr:col>14</xdr:col>
      <xdr:colOff>0</xdr:colOff>
      <xdr:row>8</xdr:row>
      <xdr:rowOff>446</xdr:rowOff>
    </xdr:from>
    <xdr:ext cx="800100" cy="250453"/>
    <xdr:sp macro="" textlink="">
      <xdr:nvSpPr>
        <xdr:cNvPr id="40" name="TextBox 39">
          <a:extLst>
            <a:ext uri="{FF2B5EF4-FFF2-40B4-BE49-F238E27FC236}">
              <a16:creationId xmlns:a16="http://schemas.microsoft.com/office/drawing/2014/main" id="{00000000-0008-0000-0700-000028000000}"/>
            </a:ext>
          </a:extLst>
        </xdr:cNvPr>
        <xdr:cNvSpPr txBox="1"/>
      </xdr:nvSpPr>
      <xdr:spPr>
        <a:xfrm>
          <a:off x="6812280" y="1829246"/>
          <a:ext cx="800100" cy="250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spAutoFit/>
        </a:bodyPr>
        <a:lstStyle/>
        <a:p>
          <a:pPr algn="ctr"/>
          <a:r>
            <a:rPr lang="en-GB" sz="800" b="1"/>
            <a:t>% Change</a:t>
          </a:r>
        </a:p>
        <a:p>
          <a:pPr algn="ctr"/>
          <a:r>
            <a:rPr lang="en-GB" sz="800" b="1"/>
            <a:t>Year on Year</a:t>
          </a:r>
        </a:p>
      </xdr:txBody>
    </xdr:sp>
    <xdr:clientData/>
  </xdr:oneCellAnchor>
  <mc:AlternateContent xmlns:mc="http://schemas.openxmlformats.org/markup-compatibility/2006">
    <mc:Choice xmlns:a14="http://schemas.microsoft.com/office/drawing/2010/main" Requires="a14">
      <xdr:twoCellAnchor editAs="oneCell">
        <xdr:from>
          <xdr:col>4</xdr:col>
          <xdr:colOff>45720</xdr:colOff>
          <xdr:row>21</xdr:row>
          <xdr:rowOff>38100</xdr:rowOff>
        </xdr:from>
        <xdr:to>
          <xdr:col>4</xdr:col>
          <xdr:colOff>518037</xdr:colOff>
          <xdr:row>29</xdr:row>
          <xdr:rowOff>186814</xdr:rowOff>
        </xdr:to>
        <xdr:pic>
          <xdr:nvPicPr>
            <xdr:cNvPr id="41" name="Picture 40">
              <a:extLst>
                <a:ext uri="{FF2B5EF4-FFF2-40B4-BE49-F238E27FC236}">
                  <a16:creationId xmlns:a16="http://schemas.microsoft.com/office/drawing/2014/main" id="{00000000-0008-0000-0700-000029000000}"/>
                </a:ext>
              </a:extLst>
            </xdr:cNvPr>
            <xdr:cNvPicPr>
              <a:picLocks noChangeAspect="1" noChangeArrowheads="1"/>
              <a:extLst>
                <a:ext uri="{84589F7E-364E-4C9E-8A38-B11213B215E9}">
                  <a14:cameraTool cellRange="'VISITOR DAYS'!$E$17:$E$27" spid="_x0000_s408921"/>
                </a:ext>
              </a:extLst>
            </xdr:cNvPicPr>
          </xdr:nvPicPr>
          <xdr:blipFill rotWithShape="1">
            <a:blip xmlns:r="http://schemas.openxmlformats.org/officeDocument/2006/relationships" r:embed="rId8"/>
            <a:srcRect l="60695" r="-5005"/>
            <a:stretch>
              <a:fillRect/>
            </a:stretch>
          </xdr:blipFill>
          <xdr:spPr bwMode="auto">
            <a:xfrm>
              <a:off x="1386840" y="4335780"/>
              <a:ext cx="472317" cy="1794634"/>
            </a:xfrm>
            <a:prstGeom prst="rect">
              <a:avLst/>
            </a:prstGeom>
            <a:solidFill>
              <a:srgbClr val="FFFFFF" mc:Ignorable="a14" a14:legacySpreadsheetColorIndex="9"/>
            </a:solidFill>
            <a:ln w="9525">
              <a:no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441960</xdr:colOff>
          <xdr:row>21</xdr:row>
          <xdr:rowOff>38099</xdr:rowOff>
        </xdr:from>
        <xdr:to>
          <xdr:col>4</xdr:col>
          <xdr:colOff>815340</xdr:colOff>
          <xdr:row>29</xdr:row>
          <xdr:rowOff>180790</xdr:rowOff>
        </xdr:to>
        <xdr:pic>
          <xdr:nvPicPr>
            <xdr:cNvPr id="42" name="Picture 41">
              <a:extLst>
                <a:ext uri="{FF2B5EF4-FFF2-40B4-BE49-F238E27FC236}">
                  <a16:creationId xmlns:a16="http://schemas.microsoft.com/office/drawing/2014/main" id="{00000000-0008-0000-0700-00002A000000}"/>
                </a:ext>
              </a:extLst>
            </xdr:cNvPr>
            <xdr:cNvPicPr>
              <a:picLocks noChangeAspect="1" noChangeArrowheads="1"/>
              <a:extLst>
                <a:ext uri="{84589F7E-364E-4C9E-8A38-B11213B215E9}">
                  <a14:cameraTool cellRange="'VISITOR DAYS'!$T$17:$T$27" spid="_x0000_s408922"/>
                </a:ext>
              </a:extLst>
            </xdr:cNvPicPr>
          </xdr:nvPicPr>
          <xdr:blipFill>
            <a:blip xmlns:r="http://schemas.openxmlformats.org/officeDocument/2006/relationships" r:embed="rId11"/>
            <a:srcRect/>
            <a:stretch>
              <a:fillRect/>
            </a:stretch>
          </xdr:blipFill>
          <xdr:spPr bwMode="auto">
            <a:xfrm>
              <a:off x="1783080" y="4335779"/>
              <a:ext cx="373380" cy="1788611"/>
            </a:xfrm>
            <a:prstGeom prst="rect">
              <a:avLst/>
            </a:prstGeom>
            <a:solidFill>
              <a:srgbClr val="FFFFFF" mc:Ignorable="a14" a14:legacySpreadsheetColorIndex="9"/>
            </a:solidFill>
            <a:ln w="9525">
              <a:noFill/>
              <a:miter lim="800000"/>
              <a:headEnd/>
              <a:tailEnd/>
            </a:ln>
          </xdr:spPr>
        </xdr:pic>
        <xdr:clientData/>
      </xdr:twoCellAnchor>
    </mc:Choice>
    <mc:Fallback/>
  </mc:AlternateContent>
  <xdr:oneCellAnchor>
    <xdr:from>
      <xdr:col>4</xdr:col>
      <xdr:colOff>15240</xdr:colOff>
      <xdr:row>20</xdr:row>
      <xdr:rowOff>446</xdr:rowOff>
    </xdr:from>
    <xdr:ext cx="800100" cy="250453"/>
    <xdr:sp macro="" textlink="">
      <xdr:nvSpPr>
        <xdr:cNvPr id="43" name="TextBox 42">
          <a:extLst>
            <a:ext uri="{FF2B5EF4-FFF2-40B4-BE49-F238E27FC236}">
              <a16:creationId xmlns:a16="http://schemas.microsoft.com/office/drawing/2014/main" id="{00000000-0008-0000-0700-00002B000000}"/>
            </a:ext>
          </a:extLst>
        </xdr:cNvPr>
        <xdr:cNvSpPr txBox="1"/>
      </xdr:nvSpPr>
      <xdr:spPr>
        <a:xfrm>
          <a:off x="1356360" y="4092386"/>
          <a:ext cx="800100" cy="250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spAutoFit/>
        </a:bodyPr>
        <a:lstStyle/>
        <a:p>
          <a:pPr algn="ctr"/>
          <a:r>
            <a:rPr lang="en-GB" sz="800" b="1"/>
            <a:t>% Change</a:t>
          </a:r>
        </a:p>
        <a:p>
          <a:pPr algn="ctr"/>
          <a:r>
            <a:rPr lang="en-GB" sz="800" b="1"/>
            <a:t>Year on Year</a:t>
          </a:r>
        </a:p>
      </xdr:txBody>
    </xdr:sp>
    <xdr:clientData/>
  </xdr:oneCellAnchor>
  <mc:AlternateContent xmlns:mc="http://schemas.openxmlformats.org/markup-compatibility/2006">
    <mc:Choice xmlns:a14="http://schemas.microsoft.com/office/drawing/2010/main" Requires="a14">
      <xdr:twoCellAnchor editAs="oneCell">
        <xdr:from>
          <xdr:col>14</xdr:col>
          <xdr:colOff>68580</xdr:colOff>
          <xdr:row>21</xdr:row>
          <xdr:rowOff>37654</xdr:rowOff>
        </xdr:from>
        <xdr:to>
          <xdr:col>15</xdr:col>
          <xdr:colOff>39882</xdr:colOff>
          <xdr:row>29</xdr:row>
          <xdr:rowOff>186368</xdr:rowOff>
        </xdr:to>
        <xdr:pic>
          <xdr:nvPicPr>
            <xdr:cNvPr id="44" name="Picture 43">
              <a:extLst>
                <a:ext uri="{FF2B5EF4-FFF2-40B4-BE49-F238E27FC236}">
                  <a16:creationId xmlns:a16="http://schemas.microsoft.com/office/drawing/2014/main" id="{00000000-0008-0000-0700-00002C000000}"/>
                </a:ext>
              </a:extLst>
            </xdr:cNvPr>
            <xdr:cNvPicPr>
              <a:picLocks noChangeAspect="1" noChangeArrowheads="1"/>
              <a:extLst>
                <a:ext uri="{84589F7E-364E-4C9E-8A38-B11213B215E9}">
                  <a14:cameraTool cellRange="EMPLOYMENT!$E$17:$E$27" spid="_x0000_s408923"/>
                </a:ext>
              </a:extLst>
            </xdr:cNvPicPr>
          </xdr:nvPicPr>
          <xdr:blipFill rotWithShape="1">
            <a:blip xmlns:r="http://schemas.openxmlformats.org/officeDocument/2006/relationships" r:embed="rId8"/>
            <a:srcRect l="60695" r="-5005"/>
            <a:stretch>
              <a:fillRect/>
            </a:stretch>
          </xdr:blipFill>
          <xdr:spPr bwMode="auto">
            <a:xfrm>
              <a:off x="6880860" y="4335334"/>
              <a:ext cx="472317" cy="1794634"/>
            </a:xfrm>
            <a:prstGeom prst="rect">
              <a:avLst/>
            </a:prstGeom>
            <a:solidFill>
              <a:srgbClr val="FFFFFF" mc:Ignorable="a14" a14:legacySpreadsheetColorIndex="9"/>
            </a:solidFill>
            <a:ln w="9525">
              <a:no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464820</xdr:colOff>
          <xdr:row>21</xdr:row>
          <xdr:rowOff>37653</xdr:rowOff>
        </xdr:from>
        <xdr:to>
          <xdr:col>15</xdr:col>
          <xdr:colOff>346710</xdr:colOff>
          <xdr:row>29</xdr:row>
          <xdr:rowOff>180344</xdr:rowOff>
        </xdr:to>
        <xdr:pic>
          <xdr:nvPicPr>
            <xdr:cNvPr id="45" name="Picture 44">
              <a:extLst>
                <a:ext uri="{FF2B5EF4-FFF2-40B4-BE49-F238E27FC236}">
                  <a16:creationId xmlns:a16="http://schemas.microsoft.com/office/drawing/2014/main" id="{00000000-0008-0000-0700-00002D000000}"/>
                </a:ext>
              </a:extLst>
            </xdr:cNvPr>
            <xdr:cNvPicPr>
              <a:picLocks noChangeAspect="1" noChangeArrowheads="1"/>
              <a:extLst>
                <a:ext uri="{84589F7E-364E-4C9E-8A38-B11213B215E9}">
                  <a14:cameraTool cellRange="EMPLOYMENT!$T$17:$T$27" spid="_x0000_s408924"/>
                </a:ext>
              </a:extLst>
            </xdr:cNvPicPr>
          </xdr:nvPicPr>
          <xdr:blipFill>
            <a:blip xmlns:r="http://schemas.openxmlformats.org/officeDocument/2006/relationships" r:embed="rId12"/>
            <a:srcRect/>
            <a:stretch>
              <a:fillRect/>
            </a:stretch>
          </xdr:blipFill>
          <xdr:spPr bwMode="auto">
            <a:xfrm>
              <a:off x="7277100" y="4335333"/>
              <a:ext cx="373380" cy="1788611"/>
            </a:xfrm>
            <a:prstGeom prst="rect">
              <a:avLst/>
            </a:prstGeom>
            <a:solidFill>
              <a:srgbClr val="FFFFFF" mc:Ignorable="a14" a14:legacySpreadsheetColorIndex="9"/>
            </a:solidFill>
            <a:ln w="9525">
              <a:noFill/>
              <a:miter lim="800000"/>
              <a:headEnd/>
              <a:tailEnd/>
            </a:ln>
          </xdr:spPr>
        </xdr:pic>
        <xdr:clientData/>
      </xdr:twoCellAnchor>
    </mc:Choice>
    <mc:Fallback/>
  </mc:AlternateContent>
  <xdr:oneCellAnchor>
    <xdr:from>
      <xdr:col>14</xdr:col>
      <xdr:colOff>38100</xdr:colOff>
      <xdr:row>20</xdr:row>
      <xdr:rowOff>0</xdr:rowOff>
    </xdr:from>
    <xdr:ext cx="800100" cy="250453"/>
    <xdr:sp macro="" textlink="">
      <xdr:nvSpPr>
        <xdr:cNvPr id="46" name="TextBox 45">
          <a:extLst>
            <a:ext uri="{FF2B5EF4-FFF2-40B4-BE49-F238E27FC236}">
              <a16:creationId xmlns:a16="http://schemas.microsoft.com/office/drawing/2014/main" id="{00000000-0008-0000-0700-00002E000000}"/>
            </a:ext>
          </a:extLst>
        </xdr:cNvPr>
        <xdr:cNvSpPr txBox="1"/>
      </xdr:nvSpPr>
      <xdr:spPr>
        <a:xfrm>
          <a:off x="6850380" y="4091940"/>
          <a:ext cx="800100" cy="250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spAutoFit/>
        </a:bodyPr>
        <a:lstStyle/>
        <a:p>
          <a:pPr algn="ctr"/>
          <a:r>
            <a:rPr lang="en-GB" sz="800" b="1"/>
            <a:t>% Change</a:t>
          </a:r>
        </a:p>
        <a:p>
          <a:pPr algn="ctr"/>
          <a:r>
            <a:rPr lang="en-GB" sz="800" b="1"/>
            <a:t>Year on Year</a:t>
          </a:r>
        </a:p>
      </xdr:txBody>
    </xdr:sp>
    <xdr:clientData/>
  </xdr:oneCellAnchor>
</xdr:wsDr>
</file>

<file path=xl/drawings/drawing8.xml><?xml version="1.0" encoding="utf-8"?>
<xdr:wsDr xmlns:xdr="http://schemas.openxmlformats.org/drawingml/2006/spreadsheetDrawing" xmlns:a="http://schemas.openxmlformats.org/drawingml/2006/main">
  <xdr:twoCellAnchor>
    <xdr:from>
      <xdr:col>12</xdr:col>
      <xdr:colOff>285750</xdr:colOff>
      <xdr:row>4</xdr:row>
      <xdr:rowOff>152400</xdr:rowOff>
    </xdr:from>
    <xdr:to>
      <xdr:col>16</xdr:col>
      <xdr:colOff>138840</xdr:colOff>
      <xdr:row>4</xdr:row>
      <xdr:rowOff>314326</xdr:rowOff>
    </xdr:to>
    <xdr:sp macro="" textlink="">
      <xdr:nvSpPr>
        <xdr:cNvPr id="34" name="Rectangle 33">
          <a:extLst>
            <a:ext uri="{FF2B5EF4-FFF2-40B4-BE49-F238E27FC236}">
              <a16:creationId xmlns:a16="http://schemas.microsoft.com/office/drawing/2014/main" id="{00000000-0008-0000-0800-000022000000}"/>
            </a:ext>
          </a:extLst>
        </xdr:cNvPr>
        <xdr:cNvSpPr/>
      </xdr:nvSpPr>
      <xdr:spPr>
        <a:xfrm>
          <a:off x="5972175" y="1019175"/>
          <a:ext cx="1681890" cy="161926"/>
        </a:xfrm>
        <a:prstGeom prst="rect">
          <a:avLst/>
        </a:prstGeom>
        <a:solidFill>
          <a:schemeClr val="accent1"/>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lIns="0" tIns="0" rIns="0" bIns="0" rtlCol="0" anchor="ctr"/>
        <a:lstStyle/>
        <a:p>
          <a:pPr algn="ctr"/>
          <a:r>
            <a:rPr lang="en-GB" sz="900" b="0">
              <a:solidFill>
                <a:schemeClr val="bg1"/>
              </a:solidFill>
            </a:rPr>
            <a:t>Reflect Price</a:t>
          </a:r>
          <a:r>
            <a:rPr lang="en-GB" sz="900" b="0" baseline="0">
              <a:solidFill>
                <a:schemeClr val="bg1"/>
              </a:solidFill>
            </a:rPr>
            <a:t> Inflation?</a:t>
          </a:r>
          <a:endParaRPr lang="en-GB" sz="900" b="0">
            <a:solidFill>
              <a:schemeClr val="bg1"/>
            </a:solidFill>
          </a:endParaRPr>
        </a:p>
      </xdr:txBody>
    </xdr:sp>
    <xdr:clientData fPrintsWithSheet="0"/>
  </xdr:twoCellAnchor>
  <xdr:twoCellAnchor>
    <xdr:from>
      <xdr:col>12</xdr:col>
      <xdr:colOff>285750</xdr:colOff>
      <xdr:row>4</xdr:row>
      <xdr:rowOff>1</xdr:rowOff>
    </xdr:from>
    <xdr:to>
      <xdr:col>16</xdr:col>
      <xdr:colOff>138840</xdr:colOff>
      <xdr:row>4</xdr:row>
      <xdr:rowOff>158328</xdr:rowOff>
    </xdr:to>
    <xdr:sp macro="" textlink="M5">
      <xdr:nvSpPr>
        <xdr:cNvPr id="2" name="Rectangle 1">
          <a:extLst>
            <a:ext uri="{FF2B5EF4-FFF2-40B4-BE49-F238E27FC236}">
              <a16:creationId xmlns:a16="http://schemas.microsoft.com/office/drawing/2014/main" id="{00000000-0008-0000-0800-000002000000}"/>
            </a:ext>
          </a:extLst>
        </xdr:cNvPr>
        <xdr:cNvSpPr/>
      </xdr:nvSpPr>
      <xdr:spPr>
        <a:xfrm>
          <a:off x="5972175" y="866776"/>
          <a:ext cx="1681890" cy="158327"/>
        </a:xfrm>
        <a:prstGeom prst="rect">
          <a:avLst/>
        </a:prstGeom>
        <a:solidFill>
          <a:schemeClr val="accent1"/>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lIns="0" tIns="0" rIns="0" bIns="0" rtlCol="0" anchor="ctr"/>
        <a:lstStyle/>
        <a:p>
          <a:pPr algn="ctr"/>
          <a:fld id="{E78AF480-5E6A-4795-BF5C-6A90553519FD}" type="TxLink">
            <a:rPr lang="en-US" sz="900" b="1" i="0" u="none" strike="noStrike">
              <a:solidFill>
                <a:schemeClr val="bg1"/>
              </a:solidFill>
              <a:latin typeface="Calibri"/>
            </a:rPr>
            <a:pPr algn="ctr"/>
            <a:t>INDEXATION TO 2022 PRICES</a:t>
          </a:fld>
          <a:endParaRPr lang="en-GB" sz="900" b="1">
            <a:solidFill>
              <a:schemeClr val="bg1"/>
            </a:solidFill>
          </a:endParaRPr>
        </a:p>
      </xdr:txBody>
    </xdr:sp>
    <xdr:clientData fPrintsWithSheet="0"/>
  </xdr:twoCellAnchor>
  <xdr:twoCellAnchor>
    <xdr:from>
      <xdr:col>4</xdr:col>
      <xdr:colOff>91441</xdr:colOff>
      <xdr:row>1</xdr:row>
      <xdr:rowOff>106680</xdr:rowOff>
    </xdr:from>
    <xdr:to>
      <xdr:col>4</xdr:col>
      <xdr:colOff>358141</xdr:colOff>
      <xdr:row>2</xdr:row>
      <xdr:rowOff>260040</xdr:rowOff>
    </xdr:to>
    <xdr:pic>
      <xdr:nvPicPr>
        <xdr:cNvPr id="3" name="Picture 2" descr="logovvsm.jpg">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1" cstate="print"/>
        <a:stretch>
          <a:fillRect/>
        </a:stretch>
      </xdr:blipFill>
      <xdr:spPr>
        <a:xfrm>
          <a:off x="1386841" y="106680"/>
          <a:ext cx="266700" cy="353385"/>
        </a:xfrm>
        <a:prstGeom prst="roundRect">
          <a:avLst>
            <a:gd name="adj" fmla="val 8594"/>
          </a:avLst>
        </a:prstGeom>
        <a:solidFill>
          <a:srgbClr val="FFFFFF">
            <a:shade val="85000"/>
          </a:srgbClr>
        </a:solidFill>
        <a:ln>
          <a:noFill/>
        </a:ln>
        <a:effectLst>
          <a:outerShdw blurRad="63500" sx="102000" sy="102000" algn="ctr" rotWithShape="0">
            <a:prstClr val="black">
              <a:alpha val="40000"/>
            </a:prstClr>
          </a:outerShdw>
        </a:effectLst>
      </xdr:spPr>
    </xdr:pic>
    <xdr:clientData/>
  </xdr:twoCellAnchor>
  <xdr:twoCellAnchor>
    <xdr:from>
      <xdr:col>4</xdr:col>
      <xdr:colOff>403860</xdr:colOff>
      <xdr:row>1</xdr:row>
      <xdr:rowOff>99060</xdr:rowOff>
    </xdr:from>
    <xdr:to>
      <xdr:col>7</xdr:col>
      <xdr:colOff>251460</xdr:colOff>
      <xdr:row>2</xdr:row>
      <xdr:rowOff>274320</xdr:rowOff>
    </xdr:to>
    <xdr:sp macro="" textlink="REP.gts">
      <xdr:nvSpPr>
        <xdr:cNvPr id="4" name="TextBox 3">
          <a:extLst>
            <a:ext uri="{FF2B5EF4-FFF2-40B4-BE49-F238E27FC236}">
              <a16:creationId xmlns:a16="http://schemas.microsoft.com/office/drawing/2014/main" id="{00000000-0008-0000-0800-000004000000}"/>
            </a:ext>
          </a:extLst>
        </xdr:cNvPr>
        <xdr:cNvSpPr txBox="1"/>
      </xdr:nvSpPr>
      <xdr:spPr>
        <a:xfrm>
          <a:off x="1699260" y="99060"/>
          <a:ext cx="1952625" cy="37528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fld id="{3BA988AB-649B-451C-8315-D0DA89BAC50D}" type="TxLink">
            <a:rPr lang="en-US" sz="900" b="1" i="0" u="none" strike="noStrike">
              <a:solidFill>
                <a:srgbClr val="000000"/>
              </a:solidFill>
              <a:latin typeface="+mn-lt"/>
            </a:rPr>
            <a:pPr algn="l"/>
            <a:t>Global Tourism Solutions (UK) Ltd</a:t>
          </a:fld>
          <a:endParaRPr lang="en-GB" sz="900" b="1">
            <a:latin typeface="+mn-lt"/>
          </a:endParaRPr>
        </a:p>
      </xdr:txBody>
    </xdr:sp>
    <xdr:clientData/>
  </xdr:twoCellAnchor>
  <xdr:twoCellAnchor>
    <xdr:from>
      <xdr:col>4</xdr:col>
      <xdr:colOff>60960</xdr:colOff>
      <xdr:row>3</xdr:row>
      <xdr:rowOff>15240</xdr:rowOff>
    </xdr:from>
    <xdr:to>
      <xdr:col>21</xdr:col>
      <xdr:colOff>45720</xdr:colOff>
      <xdr:row>3</xdr:row>
      <xdr:rowOff>320040</xdr:rowOff>
    </xdr:to>
    <xdr:sp macro="" textlink="">
      <xdr:nvSpPr>
        <xdr:cNvPr id="5" name="Rectangle 4">
          <a:extLst>
            <a:ext uri="{FF2B5EF4-FFF2-40B4-BE49-F238E27FC236}">
              <a16:creationId xmlns:a16="http://schemas.microsoft.com/office/drawing/2014/main" id="{00000000-0008-0000-0800-000005000000}"/>
            </a:ext>
          </a:extLst>
        </xdr:cNvPr>
        <xdr:cNvSpPr/>
      </xdr:nvSpPr>
      <xdr:spPr>
        <a:xfrm>
          <a:off x="1356360" y="548640"/>
          <a:ext cx="8490585" cy="304800"/>
        </a:xfrm>
        <a:prstGeom prst="rect">
          <a:avLst/>
        </a:prstGeom>
        <a:noFill/>
        <a:ln>
          <a:noFill/>
        </a:ln>
        <a:effectLst>
          <a:outerShdw blurRad="63500" sx="102000" sy="102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lIns="36000" tIns="36000" rIns="36000" bIns="36000" rtlCol="0" anchor="ctr"/>
        <a:lstStyle/>
        <a:p>
          <a:pPr algn="l"/>
          <a:r>
            <a:rPr lang="en-GB" sz="1000" b="1">
              <a:solidFill>
                <a:schemeClr val="bg1"/>
              </a:solidFill>
            </a:rPr>
            <a:t>REPORT CONTROLS </a:t>
          </a:r>
          <a:r>
            <a:rPr lang="en-GB" sz="1000" b="0" i="1">
              <a:solidFill>
                <a:schemeClr val="bg1"/>
              </a:solidFill>
            </a:rPr>
            <a:t>- Please adjust the report outputs</a:t>
          </a:r>
          <a:r>
            <a:rPr lang="en-GB" sz="1000" b="0" i="1" baseline="0">
              <a:solidFill>
                <a:schemeClr val="bg1"/>
              </a:solidFill>
            </a:rPr>
            <a:t> using the drop-down controls below</a:t>
          </a:r>
        </a:p>
      </xdr:txBody>
    </xdr:sp>
    <xdr:clientData fPrintsWithSheet="0"/>
  </xdr:twoCellAnchor>
  <xdr:twoCellAnchor editAs="oneCell">
    <xdr:from>
      <xdr:col>22</xdr:col>
      <xdr:colOff>320041</xdr:colOff>
      <xdr:row>3</xdr:row>
      <xdr:rowOff>45721</xdr:rowOff>
    </xdr:from>
    <xdr:to>
      <xdr:col>23</xdr:col>
      <xdr:colOff>398146</xdr:colOff>
      <xdr:row>4</xdr:row>
      <xdr:rowOff>299165</xdr:rowOff>
    </xdr:to>
    <xdr:pic>
      <xdr:nvPicPr>
        <xdr:cNvPr id="6" name="Picture 5">
          <a:hlinkClick xmlns:r="http://schemas.openxmlformats.org/officeDocument/2006/relationships" r:id="rId2" tooltip="Home - Navigation Page"/>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3" cstate="print">
          <a:grayscl/>
          <a:extLst>
            <a:ext uri="{28A0092B-C50C-407E-A947-70E740481C1C}">
              <a14:useLocalDpi xmlns:a14="http://schemas.microsoft.com/office/drawing/2010/main" val="0"/>
            </a:ext>
          </a:extLst>
        </a:blip>
        <a:stretch>
          <a:fillRect/>
        </a:stretch>
      </xdr:blipFill>
      <xdr:spPr>
        <a:xfrm>
          <a:off x="10578466" y="579121"/>
          <a:ext cx="563880" cy="586819"/>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16</xdr:col>
          <xdr:colOff>76200</xdr:colOff>
          <xdr:row>4</xdr:row>
          <xdr:rowOff>22860</xdr:rowOff>
        </xdr:from>
        <xdr:to>
          <xdr:col>17</xdr:col>
          <xdr:colOff>297180</xdr:colOff>
          <xdr:row>4</xdr:row>
          <xdr:rowOff>297180</xdr:rowOff>
        </xdr:to>
        <xdr:sp macro="" textlink="">
          <xdr:nvSpPr>
            <xdr:cNvPr id="188417" name="Drop Down 1" hidden="1">
              <a:extLst>
                <a:ext uri="{63B3BB69-23CF-44E3-9099-C40C66FF867C}">
                  <a14:compatExt spid="_x0000_s188417"/>
                </a:ext>
                <a:ext uri="{FF2B5EF4-FFF2-40B4-BE49-F238E27FC236}">
                  <a16:creationId xmlns:a16="http://schemas.microsoft.com/office/drawing/2014/main" id="{00000000-0008-0000-0800-000001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7</xdr:col>
      <xdr:colOff>236220</xdr:colOff>
      <xdr:row>1</xdr:row>
      <xdr:rowOff>91440</xdr:rowOff>
    </xdr:from>
    <xdr:to>
      <xdr:col>22</xdr:col>
      <xdr:colOff>182880</xdr:colOff>
      <xdr:row>2</xdr:row>
      <xdr:rowOff>190500</xdr:rowOff>
    </xdr:to>
    <xdr:sp macro="" textlink="">
      <xdr:nvSpPr>
        <xdr:cNvPr id="11" name="Rectangle 10">
          <a:extLst>
            <a:ext uri="{FF2B5EF4-FFF2-40B4-BE49-F238E27FC236}">
              <a16:creationId xmlns:a16="http://schemas.microsoft.com/office/drawing/2014/main" id="{00000000-0008-0000-0800-00000B000000}"/>
            </a:ext>
          </a:extLst>
        </xdr:cNvPr>
        <xdr:cNvSpPr/>
      </xdr:nvSpPr>
      <xdr:spPr>
        <a:xfrm>
          <a:off x="3636645" y="91440"/>
          <a:ext cx="6804660" cy="299085"/>
        </a:xfrm>
        <a:prstGeom prst="rect">
          <a:avLst/>
        </a:prstGeom>
        <a:noFill/>
        <a:ln>
          <a:noFill/>
        </a:ln>
        <a:effectLst>
          <a:outerShdw blurRad="63500" sx="102000" sy="102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lIns="36000" tIns="36000" rIns="36000" bIns="36000" rtlCol="0" anchor="ctr"/>
        <a:lstStyle/>
        <a:p>
          <a:pPr algn="r"/>
          <a:r>
            <a:rPr lang="en-GB" sz="1000" b="1">
              <a:solidFill>
                <a:schemeClr val="tx1">
                  <a:lumMod val="65000"/>
                  <a:lumOff val="35000"/>
                </a:schemeClr>
              </a:solidFill>
            </a:rPr>
            <a:t>Pressing this on-screen "Home" button on</a:t>
          </a:r>
          <a:r>
            <a:rPr lang="en-GB" sz="1000" b="1" baseline="0">
              <a:solidFill>
                <a:schemeClr val="tx1">
                  <a:lumMod val="65000"/>
                  <a:lumOff val="35000"/>
                </a:schemeClr>
              </a:solidFill>
            </a:rPr>
            <a:t> any sheet of the report takes you back to the navigation page</a:t>
          </a:r>
          <a:endParaRPr lang="en-GB" sz="1000" b="0" i="1" baseline="0">
            <a:solidFill>
              <a:schemeClr val="tx1">
                <a:lumMod val="65000"/>
                <a:lumOff val="35000"/>
              </a:schemeClr>
            </a:solidFill>
          </a:endParaRPr>
        </a:p>
      </xdr:txBody>
    </xdr:sp>
    <xdr:clientData fPrintsWithSheet="0"/>
  </xdr:twoCellAnchor>
  <xdr:twoCellAnchor>
    <xdr:from>
      <xdr:col>22</xdr:col>
      <xdr:colOff>232410</xdr:colOff>
      <xdr:row>2</xdr:row>
      <xdr:rowOff>11430</xdr:rowOff>
    </xdr:from>
    <xdr:to>
      <xdr:col>23</xdr:col>
      <xdr:colOff>190500</xdr:colOff>
      <xdr:row>2</xdr:row>
      <xdr:rowOff>281940</xdr:rowOff>
    </xdr:to>
    <xdr:sp macro="" textlink="">
      <xdr:nvSpPr>
        <xdr:cNvPr id="12" name="Bent Arrow 11">
          <a:extLst>
            <a:ext uri="{FF2B5EF4-FFF2-40B4-BE49-F238E27FC236}">
              <a16:creationId xmlns:a16="http://schemas.microsoft.com/office/drawing/2014/main" id="{00000000-0008-0000-0800-00000C000000}"/>
            </a:ext>
          </a:extLst>
        </xdr:cNvPr>
        <xdr:cNvSpPr/>
      </xdr:nvSpPr>
      <xdr:spPr>
        <a:xfrm rot="5400000">
          <a:off x="10563225" y="139065"/>
          <a:ext cx="270510" cy="415290"/>
        </a:xfrm>
        <a:prstGeom prst="bentArrow">
          <a:avLst/>
        </a:prstGeom>
        <a:solidFill>
          <a:schemeClr val="bg1">
            <a:lumMod val="85000"/>
          </a:schemeClr>
        </a:solidFill>
        <a:ln w="22225">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chemeClr val="tx1"/>
            </a:solidFill>
          </a:endParaRPr>
        </a:p>
      </xdr:txBody>
    </xdr:sp>
    <xdr:clientData/>
  </xdr:twoCellAnchor>
  <xdr:twoCellAnchor>
    <xdr:from>
      <xdr:col>18</xdr:col>
      <xdr:colOff>40005</xdr:colOff>
      <xdr:row>27</xdr:row>
      <xdr:rowOff>125729</xdr:rowOff>
    </xdr:from>
    <xdr:to>
      <xdr:col>18</xdr:col>
      <xdr:colOff>346709</xdr:colOff>
      <xdr:row>28</xdr:row>
      <xdr:rowOff>81915</xdr:rowOff>
    </xdr:to>
    <xdr:sp macro="" textlink="$F$30">
      <xdr:nvSpPr>
        <xdr:cNvPr id="13" name="TextBox 12">
          <a:extLst>
            <a:ext uri="{FF2B5EF4-FFF2-40B4-BE49-F238E27FC236}">
              <a16:creationId xmlns:a16="http://schemas.microsoft.com/office/drawing/2014/main" id="{00000000-0008-0000-0800-00000D000000}"/>
            </a:ext>
          </a:extLst>
        </xdr:cNvPr>
        <xdr:cNvSpPr txBox="1"/>
      </xdr:nvSpPr>
      <xdr:spPr>
        <a:xfrm>
          <a:off x="8469630" y="5526404"/>
          <a:ext cx="306704" cy="15621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fld id="{263D66BB-E62C-4EBF-9923-B946FBE9ABDE}" type="TxLink">
            <a:rPr lang="en-US" sz="900" b="1" i="0" u="none" strike="noStrike">
              <a:solidFill>
                <a:sysClr val="windowText" lastClr="000000"/>
              </a:solidFill>
              <a:latin typeface="Calibri"/>
            </a:rPr>
            <a:pPr algn="ctr"/>
            <a:t> </a:t>
          </a:fld>
          <a:endParaRPr lang="en-US" sz="800" b="1" i="0" u="none" strike="noStrike">
            <a:solidFill>
              <a:sysClr val="windowText" lastClr="000000"/>
            </a:solidFill>
            <a:latin typeface="Calibri"/>
          </a:endParaRPr>
        </a:p>
      </xdr:txBody>
    </xdr:sp>
    <xdr:clientData/>
  </xdr:twoCellAnchor>
  <xdr:twoCellAnchor>
    <xdr:from>
      <xdr:col>4</xdr:col>
      <xdr:colOff>19050</xdr:colOff>
      <xdr:row>4</xdr:row>
      <xdr:rowOff>0</xdr:rowOff>
    </xdr:from>
    <xdr:to>
      <xdr:col>5</xdr:col>
      <xdr:colOff>339090</xdr:colOff>
      <xdr:row>4</xdr:row>
      <xdr:rowOff>327660</xdr:rowOff>
    </xdr:to>
    <xdr:sp macro="" textlink="">
      <xdr:nvSpPr>
        <xdr:cNvPr id="31" name="Rectangle 30">
          <a:extLst>
            <a:ext uri="{FF2B5EF4-FFF2-40B4-BE49-F238E27FC236}">
              <a16:creationId xmlns:a16="http://schemas.microsoft.com/office/drawing/2014/main" id="{00000000-0008-0000-0800-00001F000000}"/>
            </a:ext>
          </a:extLst>
        </xdr:cNvPr>
        <xdr:cNvSpPr/>
      </xdr:nvSpPr>
      <xdr:spPr>
        <a:xfrm>
          <a:off x="1314450" y="866775"/>
          <a:ext cx="1624965" cy="327660"/>
        </a:xfrm>
        <a:prstGeom prst="rect">
          <a:avLst/>
        </a:prstGeom>
        <a:solidFill>
          <a:srgbClr val="00B0F0"/>
        </a:solidFill>
        <a:ln>
          <a:noFill/>
        </a:ln>
        <a:effectLst>
          <a:outerShdw blurRad="63500" sx="101000" sy="101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lIns="0" tIns="0" rIns="0" bIns="0" rtlCol="0" anchor="ctr"/>
        <a:lstStyle/>
        <a:p>
          <a:pPr algn="ctr"/>
          <a:r>
            <a:rPr lang="en-GB" sz="900" b="1" baseline="0">
              <a:solidFill>
                <a:schemeClr val="bg1"/>
              </a:solidFill>
            </a:rPr>
            <a:t>CHARTS SHOW</a:t>
          </a:r>
        </a:p>
      </xdr:txBody>
    </xdr:sp>
    <xdr:clientData fPrintsWithSheet="0"/>
  </xdr:twoCellAnchor>
  <mc:AlternateContent xmlns:mc="http://schemas.openxmlformats.org/markup-compatibility/2006">
    <mc:Choice xmlns:a14="http://schemas.microsoft.com/office/drawing/2010/main" Requires="a14">
      <xdr:twoCellAnchor editAs="oneCell">
        <xdr:from>
          <xdr:col>5</xdr:col>
          <xdr:colOff>335280</xdr:colOff>
          <xdr:row>4</xdr:row>
          <xdr:rowOff>22860</xdr:rowOff>
        </xdr:from>
        <xdr:to>
          <xdr:col>7</xdr:col>
          <xdr:colOff>198120</xdr:colOff>
          <xdr:row>4</xdr:row>
          <xdr:rowOff>297180</xdr:rowOff>
        </xdr:to>
        <xdr:sp macro="" textlink="">
          <xdr:nvSpPr>
            <xdr:cNvPr id="188420" name="Drop Down 4" hidden="1">
              <a:extLst>
                <a:ext uri="{63B3BB69-23CF-44E3-9099-C40C66FF867C}">
                  <a14:compatExt spid="_x0000_s188420"/>
                </a:ext>
                <a:ext uri="{FF2B5EF4-FFF2-40B4-BE49-F238E27FC236}">
                  <a16:creationId xmlns:a16="http://schemas.microsoft.com/office/drawing/2014/main" id="{00000000-0008-0000-0800-000004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4</xdr:col>
      <xdr:colOff>76200</xdr:colOff>
      <xdr:row>8</xdr:row>
      <xdr:rowOff>0</xdr:rowOff>
    </xdr:from>
    <xdr:to>
      <xdr:col>6</xdr:col>
      <xdr:colOff>142875</xdr:colOff>
      <xdr:row>11</xdr:row>
      <xdr:rowOff>142875</xdr:rowOff>
    </xdr:to>
    <xdr:sp macro="" textlink="G17">
      <xdr:nvSpPr>
        <xdr:cNvPr id="21" name="TextBox 20">
          <a:extLst>
            <a:ext uri="{FF2B5EF4-FFF2-40B4-BE49-F238E27FC236}">
              <a16:creationId xmlns:a16="http://schemas.microsoft.com/office/drawing/2014/main" id="{00000000-0008-0000-0800-000015000000}"/>
            </a:ext>
          </a:extLst>
        </xdr:cNvPr>
        <xdr:cNvSpPr txBox="1"/>
      </xdr:nvSpPr>
      <xdr:spPr>
        <a:xfrm>
          <a:off x="1371600" y="1800225"/>
          <a:ext cx="1714500" cy="742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4724554B-7309-4F1F-8241-5B7A45B67123}" type="TxLink">
            <a:rPr lang="en-US" sz="1800" b="1" i="0" u="none" strike="noStrike">
              <a:solidFill>
                <a:schemeClr val="accent1"/>
              </a:solidFill>
              <a:latin typeface="Calibri"/>
            </a:rPr>
            <a:pPr/>
            <a:t>TOTAL
£1,523.44m</a:t>
          </a:fld>
          <a:endParaRPr lang="en-GB" sz="1800" b="1">
            <a:solidFill>
              <a:schemeClr val="accent1"/>
            </a:solidFill>
          </a:endParaRPr>
        </a:p>
      </xdr:txBody>
    </xdr:sp>
    <xdr:clientData/>
  </xdr:twoCellAnchor>
  <xdr:twoCellAnchor>
    <xdr:from>
      <xdr:col>14</xdr:col>
      <xdr:colOff>28575</xdr:colOff>
      <xdr:row>7</xdr:row>
      <xdr:rowOff>180974</xdr:rowOff>
    </xdr:from>
    <xdr:to>
      <xdr:col>17</xdr:col>
      <xdr:colOff>371475</xdr:colOff>
      <xdr:row>11</xdr:row>
      <xdr:rowOff>123914</xdr:rowOff>
    </xdr:to>
    <xdr:sp macro="" textlink="I17">
      <xdr:nvSpPr>
        <xdr:cNvPr id="48" name="TextBox 47">
          <a:extLst>
            <a:ext uri="{FF2B5EF4-FFF2-40B4-BE49-F238E27FC236}">
              <a16:creationId xmlns:a16="http://schemas.microsoft.com/office/drawing/2014/main" id="{00000000-0008-0000-0800-000030000000}"/>
            </a:ext>
          </a:extLst>
        </xdr:cNvPr>
        <xdr:cNvSpPr txBox="1"/>
      </xdr:nvSpPr>
      <xdr:spPr>
        <a:xfrm>
          <a:off x="6629400" y="1781174"/>
          <a:ext cx="1714500" cy="7430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B773CCC2-388F-4951-AC62-41FFFC941D2D}" type="TxLink">
            <a:rPr lang="en-US" sz="1800" b="1" i="0" u="none" strike="noStrike">
              <a:solidFill>
                <a:srgbClr val="00B050"/>
              </a:solidFill>
              <a:latin typeface="Calibri"/>
            </a:rPr>
            <a:pPr/>
            <a:t>TOTAL
7.88m</a:t>
          </a:fld>
          <a:endParaRPr lang="en-GB" sz="1800" b="1">
            <a:solidFill>
              <a:srgbClr val="00B050"/>
            </a:solidFill>
          </a:endParaRPr>
        </a:p>
      </xdr:txBody>
    </xdr:sp>
    <xdr:clientData/>
  </xdr:twoCellAnchor>
  <xdr:twoCellAnchor>
    <xdr:from>
      <xdr:col>4</xdr:col>
      <xdr:colOff>38100</xdr:colOff>
      <xdr:row>22</xdr:row>
      <xdr:rowOff>200024</xdr:rowOff>
    </xdr:from>
    <xdr:to>
      <xdr:col>6</xdr:col>
      <xdr:colOff>104775</xdr:colOff>
      <xdr:row>26</xdr:row>
      <xdr:rowOff>142964</xdr:rowOff>
    </xdr:to>
    <xdr:sp macro="" textlink="H17">
      <xdr:nvSpPr>
        <xdr:cNvPr id="49" name="TextBox 48">
          <a:extLst>
            <a:ext uri="{FF2B5EF4-FFF2-40B4-BE49-F238E27FC236}">
              <a16:creationId xmlns:a16="http://schemas.microsoft.com/office/drawing/2014/main" id="{00000000-0008-0000-0800-000031000000}"/>
            </a:ext>
          </a:extLst>
        </xdr:cNvPr>
        <xdr:cNvSpPr txBox="1"/>
      </xdr:nvSpPr>
      <xdr:spPr>
        <a:xfrm>
          <a:off x="1333500" y="4600574"/>
          <a:ext cx="1714500" cy="7430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BA469B2E-A753-4740-9A44-6133D51FAB36}" type="TxLink">
            <a:rPr lang="en-US" sz="1800" b="1" i="0" u="none" strike="noStrike">
              <a:solidFill>
                <a:srgbClr val="FF0000"/>
              </a:solidFill>
              <a:latin typeface="Calibri"/>
            </a:rPr>
            <a:pPr/>
            <a:t>TOTAL
24.18m</a:t>
          </a:fld>
          <a:endParaRPr lang="en-GB" sz="1800" b="1">
            <a:solidFill>
              <a:srgbClr val="FF0000"/>
            </a:solidFill>
          </a:endParaRPr>
        </a:p>
      </xdr:txBody>
    </xdr:sp>
    <xdr:clientData/>
  </xdr:twoCellAnchor>
  <xdr:twoCellAnchor>
    <xdr:from>
      <xdr:col>14</xdr:col>
      <xdr:colOff>28574</xdr:colOff>
      <xdr:row>22</xdr:row>
      <xdr:rowOff>180974</xdr:rowOff>
    </xdr:from>
    <xdr:to>
      <xdr:col>18</xdr:col>
      <xdr:colOff>380999</xdr:colOff>
      <xdr:row>27</xdr:row>
      <xdr:rowOff>123825</xdr:rowOff>
    </xdr:to>
    <xdr:sp macro="" textlink="J17">
      <xdr:nvSpPr>
        <xdr:cNvPr id="50" name="TextBox 49">
          <a:extLst>
            <a:ext uri="{FF2B5EF4-FFF2-40B4-BE49-F238E27FC236}">
              <a16:creationId xmlns:a16="http://schemas.microsoft.com/office/drawing/2014/main" id="{00000000-0008-0000-0800-000032000000}"/>
            </a:ext>
          </a:extLst>
        </xdr:cNvPr>
        <xdr:cNvSpPr txBox="1"/>
      </xdr:nvSpPr>
      <xdr:spPr>
        <a:xfrm>
          <a:off x="6629399" y="4781549"/>
          <a:ext cx="2181225" cy="9429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C71E001D-D595-4CEF-9B29-E08A4ACEB953}" type="TxLink">
            <a:rPr lang="en-US" sz="1800" b="1" i="0" u="none" strike="noStrike">
              <a:solidFill>
                <a:schemeClr val="accent6"/>
              </a:solidFill>
              <a:latin typeface="Calibri"/>
            </a:rPr>
            <a:pPr/>
            <a:t>TOTAL
14,284 Direct FTEs
17,737 Total FTEs</a:t>
          </a:fld>
          <a:endParaRPr lang="en-GB" sz="1800" b="1">
            <a:solidFill>
              <a:schemeClr val="accent6"/>
            </a:solidFill>
          </a:endParaRPr>
        </a:p>
      </xdr:txBody>
    </xdr:sp>
    <xdr:clientData/>
  </xdr:twoCellAnchor>
  <xdr:twoCellAnchor>
    <xdr:from>
      <xdr:col>16</xdr:col>
      <xdr:colOff>195571</xdr:colOff>
      <xdr:row>8</xdr:row>
      <xdr:rowOff>180975</xdr:rowOff>
    </xdr:from>
    <xdr:to>
      <xdr:col>21</xdr:col>
      <xdr:colOff>321594</xdr:colOff>
      <xdr:row>22</xdr:row>
      <xdr:rowOff>31062</xdr:rowOff>
    </xdr:to>
    <xdr:graphicFrame macro="">
      <xdr:nvGraphicFramePr>
        <xdr:cNvPr id="61" name="Chart 60">
          <a:extLst>
            <a:ext uri="{FF2B5EF4-FFF2-40B4-BE49-F238E27FC236}">
              <a16:creationId xmlns:a16="http://schemas.microsoft.com/office/drawing/2014/main" id="{00000000-0008-0000-0800-00003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xdr:col>
      <xdr:colOff>19050</xdr:colOff>
      <xdr:row>8</xdr:row>
      <xdr:rowOff>152399</xdr:rowOff>
    </xdr:from>
    <xdr:to>
      <xdr:col>12</xdr:col>
      <xdr:colOff>180976</xdr:colOff>
      <xdr:row>21</xdr:row>
      <xdr:rowOff>104775</xdr:rowOff>
    </xdr:to>
    <xdr:grpSp>
      <xdr:nvGrpSpPr>
        <xdr:cNvPr id="22" name="Group 21">
          <a:extLst>
            <a:ext uri="{FF2B5EF4-FFF2-40B4-BE49-F238E27FC236}">
              <a16:creationId xmlns:a16="http://schemas.microsoft.com/office/drawing/2014/main" id="{00000000-0008-0000-0800-000016000000}"/>
            </a:ext>
          </a:extLst>
        </xdr:cNvPr>
        <xdr:cNvGrpSpPr/>
      </xdr:nvGrpSpPr>
      <xdr:grpSpPr>
        <a:xfrm>
          <a:off x="1360170" y="1981199"/>
          <a:ext cx="4871086" cy="2626996"/>
          <a:chOff x="1323975" y="2219324"/>
          <a:chExt cx="4552951" cy="2552701"/>
        </a:xfrm>
      </xdr:grpSpPr>
      <xdr:grpSp>
        <xdr:nvGrpSpPr>
          <xdr:cNvPr id="17" name="Group 16">
            <a:extLst>
              <a:ext uri="{FF2B5EF4-FFF2-40B4-BE49-F238E27FC236}">
                <a16:creationId xmlns:a16="http://schemas.microsoft.com/office/drawing/2014/main" id="{00000000-0008-0000-0800-000011000000}"/>
              </a:ext>
            </a:extLst>
          </xdr:cNvPr>
          <xdr:cNvGrpSpPr/>
        </xdr:nvGrpSpPr>
        <xdr:grpSpPr>
          <a:xfrm>
            <a:off x="2895600" y="2219324"/>
            <a:ext cx="2981326" cy="2552701"/>
            <a:chOff x="2895600" y="2219324"/>
            <a:chExt cx="2981326" cy="2552701"/>
          </a:xfrm>
        </xdr:grpSpPr>
        <xdr:graphicFrame macro="">
          <xdr:nvGraphicFramePr>
            <xdr:cNvPr id="9" name="Chart 8">
              <a:extLst>
                <a:ext uri="{FF2B5EF4-FFF2-40B4-BE49-F238E27FC236}">
                  <a16:creationId xmlns:a16="http://schemas.microsoft.com/office/drawing/2014/main" id="{00000000-0008-0000-0800-000009000000}"/>
                </a:ext>
              </a:extLst>
            </xdr:cNvPr>
            <xdr:cNvGraphicFramePr/>
          </xdr:nvGraphicFramePr>
          <xdr:xfrm>
            <a:off x="2895600" y="2219324"/>
            <a:ext cx="2981326" cy="2552701"/>
          </xdr:xfrm>
          <a:graphic>
            <a:graphicData uri="http://schemas.openxmlformats.org/drawingml/2006/chart">
              <c:chart xmlns:c="http://schemas.openxmlformats.org/drawingml/2006/chart" xmlns:r="http://schemas.openxmlformats.org/officeDocument/2006/relationships" r:id="rId5"/>
            </a:graphicData>
          </a:graphic>
        </xdr:graphicFrame>
        <xdr:graphicFrame macro="">
          <xdr:nvGraphicFramePr>
            <xdr:cNvPr id="41" name="Chart 40">
              <a:extLst>
                <a:ext uri="{FF2B5EF4-FFF2-40B4-BE49-F238E27FC236}">
                  <a16:creationId xmlns:a16="http://schemas.microsoft.com/office/drawing/2014/main" id="{00000000-0008-0000-0800-000029000000}"/>
                </a:ext>
              </a:extLst>
            </xdr:cNvPr>
            <xdr:cNvGraphicFramePr>
              <a:graphicFrameLocks/>
            </xdr:cNvGraphicFramePr>
          </xdr:nvGraphicFramePr>
          <xdr:xfrm>
            <a:off x="3351257" y="2610998"/>
            <a:ext cx="2052245" cy="1742626"/>
          </xdr:xfrm>
          <a:graphic>
            <a:graphicData uri="http://schemas.openxmlformats.org/drawingml/2006/chart">
              <c:chart xmlns:c="http://schemas.openxmlformats.org/drawingml/2006/chart" xmlns:r="http://schemas.openxmlformats.org/officeDocument/2006/relationships" r:id="rId6"/>
            </a:graphicData>
          </a:graphic>
        </xdr:graphicFrame>
      </xdr:grpSp>
      <mc:AlternateContent xmlns:mc="http://schemas.openxmlformats.org/markup-compatibility/2006">
        <mc:Choice xmlns:a14="http://schemas.microsoft.com/office/drawing/2010/main" Requires="a14">
          <xdr:grpSp>
            <xdr:nvGrpSpPr>
              <xdr:cNvPr id="19" name="Group 18">
                <a:extLst>
                  <a:ext uri="{FF2B5EF4-FFF2-40B4-BE49-F238E27FC236}">
                    <a16:creationId xmlns:a16="http://schemas.microsoft.com/office/drawing/2014/main" id="{00000000-0008-0000-0800-000013000000}"/>
                  </a:ext>
                </a:extLst>
              </xdr:cNvPr>
              <xdr:cNvGrpSpPr/>
            </xdr:nvGrpSpPr>
            <xdr:grpSpPr>
              <a:xfrm>
                <a:off x="1323975" y="3171825"/>
                <a:ext cx="1304925" cy="1409700"/>
                <a:chOff x="1333500" y="6267450"/>
                <a:chExt cx="1304925" cy="1409700"/>
              </a:xfrm>
            </xdr:grpSpPr>
            <xdr:pic>
              <xdr:nvPicPr>
                <xdr:cNvPr id="103" name="Picture 102">
                  <a:extLst>
                    <a:ext uri="{FF2B5EF4-FFF2-40B4-BE49-F238E27FC236}">
                      <a16:creationId xmlns:a16="http://schemas.microsoft.com/office/drawing/2014/main" id="{00000000-0008-0000-0800-000067000000}"/>
                    </a:ext>
                  </a:extLst>
                </xdr:cNvPr>
                <xdr:cNvPicPr>
                  <a:picLocks noChangeAspect="1" noChangeArrowheads="1"/>
                  <a:extLst>
                    <a:ext uri="{84589F7E-364E-4C9E-8A38-B11213B215E9}">
                      <a14:cameraTool cellRange="$E$77:$E$83" spid="_x0000_s376620"/>
                    </a:ext>
                  </a:extLst>
                </xdr:cNvPicPr>
              </xdr:nvPicPr>
              <xdr:blipFill>
                <a:blip xmlns:r="http://schemas.openxmlformats.org/officeDocument/2006/relationships" r:embed="rId7"/>
                <a:srcRect/>
                <a:stretch>
                  <a:fillRect/>
                </a:stretch>
              </xdr:blipFill>
              <xdr:spPr bwMode="auto">
                <a:xfrm>
                  <a:off x="1333500" y="6267450"/>
                  <a:ext cx="1304925" cy="1400175"/>
                </a:xfrm>
                <a:prstGeom prst="rect">
                  <a:avLst/>
                </a:prstGeom>
                <a:solidFill>
                  <a:srgbClr val="FFFFFF" mc:Ignorable="a14" a14:legacySpreadsheetColorIndex="9"/>
                </a:solidFill>
                <a:ln w="9525">
                  <a:noFill/>
                  <a:miter lim="800000"/>
                  <a:headEnd/>
                  <a:tailEnd/>
                </a:ln>
              </xdr:spPr>
            </xdr:pic>
            <xdr:pic>
              <xdr:nvPicPr>
                <xdr:cNvPr id="104" name="Picture 103">
                  <a:extLst>
                    <a:ext uri="{FF2B5EF4-FFF2-40B4-BE49-F238E27FC236}">
                      <a16:creationId xmlns:a16="http://schemas.microsoft.com/office/drawing/2014/main" id="{00000000-0008-0000-0800-000068000000}"/>
                    </a:ext>
                  </a:extLst>
                </xdr:cNvPr>
                <xdr:cNvPicPr>
                  <a:picLocks noChangeAspect="1" noChangeArrowheads="1"/>
                  <a:extLst>
                    <a:ext uri="{84589F7E-364E-4C9E-8A38-B11213B215E9}">
                      <a14:cameraTool cellRange="$G$77:$G$83" spid="_x0000_s376621"/>
                    </a:ext>
                  </a:extLst>
                </xdr:cNvPicPr>
              </xdr:nvPicPr>
              <xdr:blipFill>
                <a:blip xmlns:r="http://schemas.openxmlformats.org/officeDocument/2006/relationships" r:embed="rId8"/>
                <a:srcRect/>
                <a:stretch>
                  <a:fillRect/>
                </a:stretch>
              </xdr:blipFill>
              <xdr:spPr bwMode="auto">
                <a:xfrm>
                  <a:off x="2152650" y="6267450"/>
                  <a:ext cx="466725" cy="1409700"/>
                </a:xfrm>
                <a:prstGeom prst="rect">
                  <a:avLst/>
                </a:prstGeom>
                <a:solidFill>
                  <a:srgbClr val="FFFFFF" mc:Ignorable="a14" a14:legacySpreadsheetColorIndex="9"/>
                </a:solidFill>
                <a:ln w="25400">
                  <a:solidFill>
                    <a:schemeClr val="accent1"/>
                  </a:solidFill>
                  <a:miter lim="800000"/>
                  <a:headEnd/>
                  <a:tailEnd/>
                </a:ln>
                <a:effectLst/>
              </xdr:spPr>
            </xdr:pic>
          </xdr:grpSp>
        </mc:Choice>
        <mc:Fallback/>
      </mc:AlternateContent>
    </xdr:grpSp>
    <xdr:clientData/>
  </xdr:twoCellAnchor>
  <xdr:twoCellAnchor>
    <xdr:from>
      <xdr:col>14</xdr:col>
      <xdr:colOff>28575</xdr:colOff>
      <xdr:row>8</xdr:row>
      <xdr:rowOff>142874</xdr:rowOff>
    </xdr:from>
    <xdr:to>
      <xdr:col>24</xdr:col>
      <xdr:colOff>9526</xdr:colOff>
      <xdr:row>21</xdr:row>
      <xdr:rowOff>95250</xdr:rowOff>
    </xdr:to>
    <xdr:grpSp>
      <xdr:nvGrpSpPr>
        <xdr:cNvPr id="116" name="Group 115">
          <a:extLst>
            <a:ext uri="{FF2B5EF4-FFF2-40B4-BE49-F238E27FC236}">
              <a16:creationId xmlns:a16="http://schemas.microsoft.com/office/drawing/2014/main" id="{00000000-0008-0000-0800-000074000000}"/>
            </a:ext>
          </a:extLst>
        </xdr:cNvPr>
        <xdr:cNvGrpSpPr/>
      </xdr:nvGrpSpPr>
      <xdr:grpSpPr>
        <a:xfrm>
          <a:off x="7084695" y="1971674"/>
          <a:ext cx="5010151" cy="2626996"/>
          <a:chOff x="1323975" y="2219324"/>
          <a:chExt cx="4552951" cy="2552701"/>
        </a:xfrm>
      </xdr:grpSpPr>
      <xdr:grpSp>
        <xdr:nvGrpSpPr>
          <xdr:cNvPr id="117" name="Group 116">
            <a:extLst>
              <a:ext uri="{FF2B5EF4-FFF2-40B4-BE49-F238E27FC236}">
                <a16:creationId xmlns:a16="http://schemas.microsoft.com/office/drawing/2014/main" id="{00000000-0008-0000-0800-000075000000}"/>
              </a:ext>
            </a:extLst>
          </xdr:cNvPr>
          <xdr:cNvGrpSpPr/>
        </xdr:nvGrpSpPr>
        <xdr:grpSpPr>
          <a:xfrm>
            <a:off x="2895600" y="2219324"/>
            <a:ext cx="2981326" cy="2552701"/>
            <a:chOff x="2895600" y="2219324"/>
            <a:chExt cx="2981326" cy="2552701"/>
          </a:xfrm>
        </xdr:grpSpPr>
        <xdr:graphicFrame macro="">
          <xdr:nvGraphicFramePr>
            <xdr:cNvPr id="121" name="Chart 120">
              <a:extLst>
                <a:ext uri="{FF2B5EF4-FFF2-40B4-BE49-F238E27FC236}">
                  <a16:creationId xmlns:a16="http://schemas.microsoft.com/office/drawing/2014/main" id="{00000000-0008-0000-0800-000079000000}"/>
                </a:ext>
              </a:extLst>
            </xdr:cNvPr>
            <xdr:cNvGraphicFramePr/>
          </xdr:nvGraphicFramePr>
          <xdr:xfrm>
            <a:off x="2895600" y="2219324"/>
            <a:ext cx="2981326" cy="2552701"/>
          </xdr:xfrm>
          <a:graphic>
            <a:graphicData uri="http://schemas.openxmlformats.org/drawingml/2006/chart">
              <c:chart xmlns:c="http://schemas.openxmlformats.org/drawingml/2006/chart" xmlns:r="http://schemas.openxmlformats.org/officeDocument/2006/relationships" r:id="rId9"/>
            </a:graphicData>
          </a:graphic>
        </xdr:graphicFrame>
        <xdr:graphicFrame macro="">
          <xdr:nvGraphicFramePr>
            <xdr:cNvPr id="122" name="Chart 121">
              <a:extLst>
                <a:ext uri="{FF2B5EF4-FFF2-40B4-BE49-F238E27FC236}">
                  <a16:creationId xmlns:a16="http://schemas.microsoft.com/office/drawing/2014/main" id="{00000000-0008-0000-0800-00007A000000}"/>
                </a:ext>
              </a:extLst>
            </xdr:cNvPr>
            <xdr:cNvGraphicFramePr>
              <a:graphicFrameLocks/>
            </xdr:cNvGraphicFramePr>
          </xdr:nvGraphicFramePr>
          <xdr:xfrm>
            <a:off x="3351257" y="2610998"/>
            <a:ext cx="2052245" cy="1742626"/>
          </xdr:xfrm>
          <a:graphic>
            <a:graphicData uri="http://schemas.openxmlformats.org/drawingml/2006/chart">
              <c:chart xmlns:c="http://schemas.openxmlformats.org/drawingml/2006/chart" xmlns:r="http://schemas.openxmlformats.org/officeDocument/2006/relationships" r:id="rId10"/>
            </a:graphicData>
          </a:graphic>
        </xdr:graphicFrame>
      </xdr:grpSp>
      <mc:AlternateContent xmlns:mc="http://schemas.openxmlformats.org/markup-compatibility/2006">
        <mc:Choice xmlns:a14="http://schemas.microsoft.com/office/drawing/2010/main" Requires="a14">
          <xdr:grpSp>
            <xdr:nvGrpSpPr>
              <xdr:cNvPr id="118" name="Group 117">
                <a:extLst>
                  <a:ext uri="{FF2B5EF4-FFF2-40B4-BE49-F238E27FC236}">
                    <a16:creationId xmlns:a16="http://schemas.microsoft.com/office/drawing/2014/main" id="{00000000-0008-0000-0800-000076000000}"/>
                  </a:ext>
                </a:extLst>
              </xdr:cNvPr>
              <xdr:cNvGrpSpPr/>
            </xdr:nvGrpSpPr>
            <xdr:grpSpPr>
              <a:xfrm>
                <a:off x="1323975" y="3171825"/>
                <a:ext cx="1304925" cy="1409700"/>
                <a:chOff x="1333500" y="6267450"/>
                <a:chExt cx="1304925" cy="1409700"/>
              </a:xfrm>
            </xdr:grpSpPr>
            <xdr:pic>
              <xdr:nvPicPr>
                <xdr:cNvPr id="119" name="Picture 118">
                  <a:extLst>
                    <a:ext uri="{FF2B5EF4-FFF2-40B4-BE49-F238E27FC236}">
                      <a16:creationId xmlns:a16="http://schemas.microsoft.com/office/drawing/2014/main" id="{00000000-0008-0000-0800-000077000000}"/>
                    </a:ext>
                  </a:extLst>
                </xdr:cNvPr>
                <xdr:cNvPicPr>
                  <a:picLocks noChangeAspect="1" noChangeArrowheads="1"/>
                  <a:extLst>
                    <a:ext uri="{84589F7E-364E-4C9E-8A38-B11213B215E9}">
                      <a14:cameraTool cellRange="$E$77:$E$83" spid="_x0000_s376622"/>
                    </a:ext>
                  </a:extLst>
                </xdr:cNvPicPr>
              </xdr:nvPicPr>
              <xdr:blipFill>
                <a:blip xmlns:r="http://schemas.openxmlformats.org/officeDocument/2006/relationships" r:embed="rId11"/>
                <a:srcRect/>
                <a:stretch>
                  <a:fillRect/>
                </a:stretch>
              </xdr:blipFill>
              <xdr:spPr bwMode="auto">
                <a:xfrm>
                  <a:off x="1333500" y="6267450"/>
                  <a:ext cx="1304925" cy="1400175"/>
                </a:xfrm>
                <a:prstGeom prst="rect">
                  <a:avLst/>
                </a:prstGeom>
                <a:solidFill>
                  <a:srgbClr val="FFFFFF" mc:Ignorable="a14" a14:legacySpreadsheetColorIndex="9"/>
                </a:solidFill>
                <a:ln w="9525">
                  <a:noFill/>
                  <a:miter lim="800000"/>
                  <a:headEnd/>
                  <a:tailEnd/>
                </a:ln>
              </xdr:spPr>
            </xdr:pic>
            <xdr:pic>
              <xdr:nvPicPr>
                <xdr:cNvPr id="120" name="Picture 119">
                  <a:extLst>
                    <a:ext uri="{FF2B5EF4-FFF2-40B4-BE49-F238E27FC236}">
                      <a16:creationId xmlns:a16="http://schemas.microsoft.com/office/drawing/2014/main" id="{00000000-0008-0000-0800-000078000000}"/>
                    </a:ext>
                  </a:extLst>
                </xdr:cNvPr>
                <xdr:cNvPicPr>
                  <a:picLocks noChangeAspect="1" noChangeArrowheads="1"/>
                  <a:extLst>
                    <a:ext uri="{84589F7E-364E-4C9E-8A38-B11213B215E9}">
                      <a14:cameraTool cellRange="$I$77:$I$83" spid="_x0000_s376623"/>
                    </a:ext>
                  </a:extLst>
                </xdr:cNvPicPr>
              </xdr:nvPicPr>
              <xdr:blipFill>
                <a:blip xmlns:r="http://schemas.openxmlformats.org/officeDocument/2006/relationships" r:embed="rId12"/>
                <a:srcRect/>
                <a:stretch>
                  <a:fillRect/>
                </a:stretch>
              </xdr:blipFill>
              <xdr:spPr bwMode="auto">
                <a:xfrm>
                  <a:off x="2152650" y="6267450"/>
                  <a:ext cx="466725" cy="1409700"/>
                </a:xfrm>
                <a:prstGeom prst="rect">
                  <a:avLst/>
                </a:prstGeom>
                <a:solidFill>
                  <a:srgbClr val="FFFFFF" mc:Ignorable="a14" a14:legacySpreadsheetColorIndex="9"/>
                </a:solidFill>
                <a:ln w="25400">
                  <a:solidFill>
                    <a:srgbClr val="00B050"/>
                  </a:solidFill>
                  <a:miter lim="800000"/>
                  <a:headEnd/>
                  <a:tailEnd/>
                </a:ln>
                <a:effectLst/>
              </xdr:spPr>
            </xdr:pic>
          </xdr:grpSp>
        </mc:Choice>
        <mc:Fallback/>
      </mc:AlternateContent>
    </xdr:grpSp>
    <xdr:clientData/>
  </xdr:twoCellAnchor>
  <xdr:twoCellAnchor>
    <xdr:from>
      <xdr:col>4</xdr:col>
      <xdr:colOff>28575</xdr:colOff>
      <xdr:row>23</xdr:row>
      <xdr:rowOff>161925</xdr:rowOff>
    </xdr:from>
    <xdr:to>
      <xdr:col>12</xdr:col>
      <xdr:colOff>190501</xdr:colOff>
      <xdr:row>36</xdr:row>
      <xdr:rowOff>114301</xdr:rowOff>
    </xdr:to>
    <xdr:grpSp>
      <xdr:nvGrpSpPr>
        <xdr:cNvPr id="131" name="Group 130">
          <a:extLst>
            <a:ext uri="{FF2B5EF4-FFF2-40B4-BE49-F238E27FC236}">
              <a16:creationId xmlns:a16="http://schemas.microsoft.com/office/drawing/2014/main" id="{00000000-0008-0000-0800-000083000000}"/>
            </a:ext>
          </a:extLst>
        </xdr:cNvPr>
        <xdr:cNvGrpSpPr/>
      </xdr:nvGrpSpPr>
      <xdr:grpSpPr>
        <a:xfrm>
          <a:off x="1369695" y="5076825"/>
          <a:ext cx="4871086" cy="2626996"/>
          <a:chOff x="1323975" y="2219324"/>
          <a:chExt cx="4552951" cy="2552701"/>
        </a:xfrm>
      </xdr:grpSpPr>
      <xdr:grpSp>
        <xdr:nvGrpSpPr>
          <xdr:cNvPr id="132" name="Group 131">
            <a:extLst>
              <a:ext uri="{FF2B5EF4-FFF2-40B4-BE49-F238E27FC236}">
                <a16:creationId xmlns:a16="http://schemas.microsoft.com/office/drawing/2014/main" id="{00000000-0008-0000-0800-000084000000}"/>
              </a:ext>
            </a:extLst>
          </xdr:cNvPr>
          <xdr:cNvGrpSpPr/>
        </xdr:nvGrpSpPr>
        <xdr:grpSpPr>
          <a:xfrm>
            <a:off x="2895600" y="2219324"/>
            <a:ext cx="2981326" cy="2552701"/>
            <a:chOff x="2895600" y="2219324"/>
            <a:chExt cx="2981326" cy="2552701"/>
          </a:xfrm>
        </xdr:grpSpPr>
        <xdr:graphicFrame macro="">
          <xdr:nvGraphicFramePr>
            <xdr:cNvPr id="136" name="Chart 135">
              <a:extLst>
                <a:ext uri="{FF2B5EF4-FFF2-40B4-BE49-F238E27FC236}">
                  <a16:creationId xmlns:a16="http://schemas.microsoft.com/office/drawing/2014/main" id="{00000000-0008-0000-0800-000088000000}"/>
                </a:ext>
              </a:extLst>
            </xdr:cNvPr>
            <xdr:cNvGraphicFramePr/>
          </xdr:nvGraphicFramePr>
          <xdr:xfrm>
            <a:off x="2895600" y="2219324"/>
            <a:ext cx="2981326" cy="2552701"/>
          </xdr:xfrm>
          <a:graphic>
            <a:graphicData uri="http://schemas.openxmlformats.org/drawingml/2006/chart">
              <c:chart xmlns:c="http://schemas.openxmlformats.org/drawingml/2006/chart" xmlns:r="http://schemas.openxmlformats.org/officeDocument/2006/relationships" r:id="rId13"/>
            </a:graphicData>
          </a:graphic>
        </xdr:graphicFrame>
        <xdr:graphicFrame macro="">
          <xdr:nvGraphicFramePr>
            <xdr:cNvPr id="137" name="Chart 136">
              <a:extLst>
                <a:ext uri="{FF2B5EF4-FFF2-40B4-BE49-F238E27FC236}">
                  <a16:creationId xmlns:a16="http://schemas.microsoft.com/office/drawing/2014/main" id="{00000000-0008-0000-0800-000089000000}"/>
                </a:ext>
              </a:extLst>
            </xdr:cNvPr>
            <xdr:cNvGraphicFramePr>
              <a:graphicFrameLocks/>
            </xdr:cNvGraphicFramePr>
          </xdr:nvGraphicFramePr>
          <xdr:xfrm>
            <a:off x="3351257" y="2610998"/>
            <a:ext cx="2052245" cy="1742626"/>
          </xdr:xfrm>
          <a:graphic>
            <a:graphicData uri="http://schemas.openxmlformats.org/drawingml/2006/chart">
              <c:chart xmlns:c="http://schemas.openxmlformats.org/drawingml/2006/chart" xmlns:r="http://schemas.openxmlformats.org/officeDocument/2006/relationships" r:id="rId14"/>
            </a:graphicData>
          </a:graphic>
        </xdr:graphicFrame>
      </xdr:grpSp>
      <mc:AlternateContent xmlns:mc="http://schemas.openxmlformats.org/markup-compatibility/2006">
        <mc:Choice xmlns:a14="http://schemas.microsoft.com/office/drawing/2010/main" Requires="a14">
          <xdr:grpSp>
            <xdr:nvGrpSpPr>
              <xdr:cNvPr id="133" name="Group 132">
                <a:extLst>
                  <a:ext uri="{FF2B5EF4-FFF2-40B4-BE49-F238E27FC236}">
                    <a16:creationId xmlns:a16="http://schemas.microsoft.com/office/drawing/2014/main" id="{00000000-0008-0000-0800-000085000000}"/>
                  </a:ext>
                </a:extLst>
              </xdr:cNvPr>
              <xdr:cNvGrpSpPr/>
            </xdr:nvGrpSpPr>
            <xdr:grpSpPr>
              <a:xfrm>
                <a:off x="1323975" y="3171825"/>
                <a:ext cx="1304925" cy="1409700"/>
                <a:chOff x="1333500" y="6267450"/>
                <a:chExt cx="1304925" cy="1409700"/>
              </a:xfrm>
            </xdr:grpSpPr>
            <xdr:pic>
              <xdr:nvPicPr>
                <xdr:cNvPr id="134" name="Picture 133">
                  <a:extLst>
                    <a:ext uri="{FF2B5EF4-FFF2-40B4-BE49-F238E27FC236}">
                      <a16:creationId xmlns:a16="http://schemas.microsoft.com/office/drawing/2014/main" id="{00000000-0008-0000-0800-000086000000}"/>
                    </a:ext>
                  </a:extLst>
                </xdr:cNvPr>
                <xdr:cNvPicPr>
                  <a:picLocks noChangeAspect="1" noChangeArrowheads="1"/>
                  <a:extLst>
                    <a:ext uri="{84589F7E-364E-4C9E-8A38-B11213B215E9}">
                      <a14:cameraTool cellRange="$E$77:$E$83" spid="_x0000_s376624"/>
                    </a:ext>
                  </a:extLst>
                </xdr:cNvPicPr>
              </xdr:nvPicPr>
              <xdr:blipFill>
                <a:blip xmlns:r="http://schemas.openxmlformats.org/officeDocument/2006/relationships" r:embed="rId11"/>
                <a:srcRect/>
                <a:stretch>
                  <a:fillRect/>
                </a:stretch>
              </xdr:blipFill>
              <xdr:spPr bwMode="auto">
                <a:xfrm>
                  <a:off x="1333500" y="6267450"/>
                  <a:ext cx="1304925" cy="1400175"/>
                </a:xfrm>
                <a:prstGeom prst="rect">
                  <a:avLst/>
                </a:prstGeom>
                <a:solidFill>
                  <a:srgbClr val="FFFFFF" mc:Ignorable="a14" a14:legacySpreadsheetColorIndex="9"/>
                </a:solidFill>
                <a:ln w="9525">
                  <a:noFill/>
                  <a:miter lim="800000"/>
                  <a:headEnd/>
                  <a:tailEnd/>
                </a:ln>
              </xdr:spPr>
            </xdr:pic>
            <xdr:pic>
              <xdr:nvPicPr>
                <xdr:cNvPr id="135" name="Picture 134">
                  <a:extLst>
                    <a:ext uri="{FF2B5EF4-FFF2-40B4-BE49-F238E27FC236}">
                      <a16:creationId xmlns:a16="http://schemas.microsoft.com/office/drawing/2014/main" id="{00000000-0008-0000-0800-000087000000}"/>
                    </a:ext>
                  </a:extLst>
                </xdr:cNvPr>
                <xdr:cNvPicPr>
                  <a:picLocks noChangeAspect="1" noChangeArrowheads="1"/>
                  <a:extLst>
                    <a:ext uri="{84589F7E-364E-4C9E-8A38-B11213B215E9}">
                      <a14:cameraTool cellRange="$H$77:$H$83" spid="_x0000_s376625"/>
                    </a:ext>
                  </a:extLst>
                </xdr:cNvPicPr>
              </xdr:nvPicPr>
              <xdr:blipFill>
                <a:blip xmlns:r="http://schemas.openxmlformats.org/officeDocument/2006/relationships" r:embed="rId15"/>
                <a:srcRect/>
                <a:stretch>
                  <a:fillRect/>
                </a:stretch>
              </xdr:blipFill>
              <xdr:spPr bwMode="auto">
                <a:xfrm>
                  <a:off x="2152650" y="6267450"/>
                  <a:ext cx="466725" cy="1409700"/>
                </a:xfrm>
                <a:prstGeom prst="rect">
                  <a:avLst/>
                </a:prstGeom>
                <a:solidFill>
                  <a:srgbClr val="FFFFFF" mc:Ignorable="a14" a14:legacySpreadsheetColorIndex="9"/>
                </a:solidFill>
                <a:ln w="25400">
                  <a:solidFill>
                    <a:srgbClr val="FF0000"/>
                  </a:solidFill>
                  <a:miter lim="800000"/>
                  <a:headEnd/>
                  <a:tailEnd/>
                </a:ln>
                <a:effectLst/>
              </xdr:spPr>
            </xdr:pic>
          </xdr:grpSp>
        </mc:Choice>
        <mc:Fallback/>
      </mc:AlternateContent>
    </xdr:grpSp>
    <xdr:clientData/>
  </xdr:twoCellAnchor>
  <xdr:twoCellAnchor>
    <xdr:from>
      <xdr:col>14</xdr:col>
      <xdr:colOff>66674</xdr:colOff>
      <xdr:row>23</xdr:row>
      <xdr:rowOff>114299</xdr:rowOff>
    </xdr:from>
    <xdr:to>
      <xdr:col>24</xdr:col>
      <xdr:colOff>47625</xdr:colOff>
      <xdr:row>36</xdr:row>
      <xdr:rowOff>66675</xdr:rowOff>
    </xdr:to>
    <xdr:grpSp>
      <xdr:nvGrpSpPr>
        <xdr:cNvPr id="138" name="Group 137">
          <a:extLst>
            <a:ext uri="{FF2B5EF4-FFF2-40B4-BE49-F238E27FC236}">
              <a16:creationId xmlns:a16="http://schemas.microsoft.com/office/drawing/2014/main" id="{00000000-0008-0000-0800-00008A000000}"/>
            </a:ext>
          </a:extLst>
        </xdr:cNvPr>
        <xdr:cNvGrpSpPr/>
      </xdr:nvGrpSpPr>
      <xdr:grpSpPr>
        <a:xfrm>
          <a:off x="7122794" y="5029199"/>
          <a:ext cx="5010151" cy="2626996"/>
          <a:chOff x="1323975" y="2219324"/>
          <a:chExt cx="4552951" cy="2552701"/>
        </a:xfrm>
      </xdr:grpSpPr>
      <xdr:grpSp>
        <xdr:nvGrpSpPr>
          <xdr:cNvPr id="139" name="Group 138">
            <a:extLst>
              <a:ext uri="{FF2B5EF4-FFF2-40B4-BE49-F238E27FC236}">
                <a16:creationId xmlns:a16="http://schemas.microsoft.com/office/drawing/2014/main" id="{00000000-0008-0000-0800-00008B000000}"/>
              </a:ext>
            </a:extLst>
          </xdr:cNvPr>
          <xdr:cNvGrpSpPr/>
        </xdr:nvGrpSpPr>
        <xdr:grpSpPr>
          <a:xfrm>
            <a:off x="2895600" y="2219324"/>
            <a:ext cx="2981326" cy="2552701"/>
            <a:chOff x="2895600" y="2219324"/>
            <a:chExt cx="2981326" cy="2552701"/>
          </a:xfrm>
        </xdr:grpSpPr>
        <xdr:graphicFrame macro="">
          <xdr:nvGraphicFramePr>
            <xdr:cNvPr id="143" name="Chart 142">
              <a:extLst>
                <a:ext uri="{FF2B5EF4-FFF2-40B4-BE49-F238E27FC236}">
                  <a16:creationId xmlns:a16="http://schemas.microsoft.com/office/drawing/2014/main" id="{00000000-0008-0000-0800-00008F000000}"/>
                </a:ext>
              </a:extLst>
            </xdr:cNvPr>
            <xdr:cNvGraphicFramePr/>
          </xdr:nvGraphicFramePr>
          <xdr:xfrm>
            <a:off x="2895600" y="2219324"/>
            <a:ext cx="2981326" cy="2552701"/>
          </xdr:xfrm>
          <a:graphic>
            <a:graphicData uri="http://schemas.openxmlformats.org/drawingml/2006/chart">
              <c:chart xmlns:c="http://schemas.openxmlformats.org/drawingml/2006/chart" xmlns:r="http://schemas.openxmlformats.org/officeDocument/2006/relationships" r:id="rId16"/>
            </a:graphicData>
          </a:graphic>
        </xdr:graphicFrame>
        <xdr:graphicFrame macro="">
          <xdr:nvGraphicFramePr>
            <xdr:cNvPr id="144" name="Chart 143">
              <a:extLst>
                <a:ext uri="{FF2B5EF4-FFF2-40B4-BE49-F238E27FC236}">
                  <a16:creationId xmlns:a16="http://schemas.microsoft.com/office/drawing/2014/main" id="{00000000-0008-0000-0800-000090000000}"/>
                </a:ext>
              </a:extLst>
            </xdr:cNvPr>
            <xdr:cNvGraphicFramePr>
              <a:graphicFrameLocks/>
            </xdr:cNvGraphicFramePr>
          </xdr:nvGraphicFramePr>
          <xdr:xfrm>
            <a:off x="3351257" y="2610998"/>
            <a:ext cx="2052245" cy="1742626"/>
          </xdr:xfrm>
          <a:graphic>
            <a:graphicData uri="http://schemas.openxmlformats.org/drawingml/2006/chart">
              <c:chart xmlns:c="http://schemas.openxmlformats.org/drawingml/2006/chart" xmlns:r="http://schemas.openxmlformats.org/officeDocument/2006/relationships" r:id="rId17"/>
            </a:graphicData>
          </a:graphic>
        </xdr:graphicFrame>
      </xdr:grpSp>
      <mc:AlternateContent xmlns:mc="http://schemas.openxmlformats.org/markup-compatibility/2006">
        <mc:Choice xmlns:a14="http://schemas.microsoft.com/office/drawing/2010/main" Requires="a14">
          <xdr:grpSp>
            <xdr:nvGrpSpPr>
              <xdr:cNvPr id="140" name="Group 139">
                <a:extLst>
                  <a:ext uri="{FF2B5EF4-FFF2-40B4-BE49-F238E27FC236}">
                    <a16:creationId xmlns:a16="http://schemas.microsoft.com/office/drawing/2014/main" id="{00000000-0008-0000-0800-00008C000000}"/>
                  </a:ext>
                </a:extLst>
              </xdr:cNvPr>
              <xdr:cNvGrpSpPr/>
            </xdr:nvGrpSpPr>
            <xdr:grpSpPr>
              <a:xfrm>
                <a:off x="1323975" y="3171825"/>
                <a:ext cx="1304925" cy="1409700"/>
                <a:chOff x="1333500" y="6267450"/>
                <a:chExt cx="1304925" cy="1409700"/>
              </a:xfrm>
            </xdr:grpSpPr>
            <xdr:pic>
              <xdr:nvPicPr>
                <xdr:cNvPr id="141" name="Picture 140">
                  <a:extLst>
                    <a:ext uri="{FF2B5EF4-FFF2-40B4-BE49-F238E27FC236}">
                      <a16:creationId xmlns:a16="http://schemas.microsoft.com/office/drawing/2014/main" id="{00000000-0008-0000-0800-00008D000000}"/>
                    </a:ext>
                  </a:extLst>
                </xdr:cNvPr>
                <xdr:cNvPicPr>
                  <a:picLocks noChangeAspect="1" noChangeArrowheads="1"/>
                  <a:extLst>
                    <a:ext uri="{84589F7E-364E-4C9E-8A38-B11213B215E9}">
                      <a14:cameraTool cellRange="$E$77:$E$83" spid="_x0000_s376626"/>
                    </a:ext>
                  </a:extLst>
                </xdr:cNvPicPr>
              </xdr:nvPicPr>
              <xdr:blipFill>
                <a:blip xmlns:r="http://schemas.openxmlformats.org/officeDocument/2006/relationships" r:embed="rId18"/>
                <a:srcRect/>
                <a:stretch>
                  <a:fillRect/>
                </a:stretch>
              </xdr:blipFill>
              <xdr:spPr bwMode="auto">
                <a:xfrm>
                  <a:off x="1333500" y="6267450"/>
                  <a:ext cx="1304925" cy="1400175"/>
                </a:xfrm>
                <a:prstGeom prst="rect">
                  <a:avLst/>
                </a:prstGeom>
                <a:solidFill>
                  <a:srgbClr val="FFFFFF" mc:Ignorable="a14" a14:legacySpreadsheetColorIndex="9"/>
                </a:solidFill>
                <a:ln w="9525">
                  <a:noFill/>
                  <a:miter lim="800000"/>
                  <a:headEnd/>
                  <a:tailEnd/>
                </a:ln>
              </xdr:spPr>
            </xdr:pic>
            <xdr:pic>
              <xdr:nvPicPr>
                <xdr:cNvPr id="142" name="Picture 141">
                  <a:extLst>
                    <a:ext uri="{FF2B5EF4-FFF2-40B4-BE49-F238E27FC236}">
                      <a16:creationId xmlns:a16="http://schemas.microsoft.com/office/drawing/2014/main" id="{00000000-0008-0000-0800-00008E000000}"/>
                    </a:ext>
                  </a:extLst>
                </xdr:cNvPr>
                <xdr:cNvPicPr>
                  <a:picLocks noChangeAspect="1" noChangeArrowheads="1"/>
                  <a:extLst>
                    <a:ext uri="{84589F7E-364E-4C9E-8A38-B11213B215E9}">
                      <a14:cameraTool cellRange="$J$77:$J$83" spid="_x0000_s376627"/>
                    </a:ext>
                  </a:extLst>
                </xdr:cNvPicPr>
              </xdr:nvPicPr>
              <xdr:blipFill>
                <a:blip xmlns:r="http://schemas.openxmlformats.org/officeDocument/2006/relationships" r:embed="rId19"/>
                <a:srcRect/>
                <a:stretch>
                  <a:fillRect/>
                </a:stretch>
              </xdr:blipFill>
              <xdr:spPr bwMode="auto">
                <a:xfrm>
                  <a:off x="2152650" y="6267450"/>
                  <a:ext cx="466725" cy="1409700"/>
                </a:xfrm>
                <a:prstGeom prst="rect">
                  <a:avLst/>
                </a:prstGeom>
                <a:solidFill>
                  <a:srgbClr val="FFFFFF" mc:Ignorable="a14" a14:legacySpreadsheetColorIndex="9"/>
                </a:solidFill>
                <a:ln w="25400">
                  <a:solidFill>
                    <a:schemeClr val="accent6"/>
                  </a:solidFill>
                  <a:miter lim="800000"/>
                  <a:headEnd/>
                  <a:tailEnd/>
                </a:ln>
                <a:effectLst/>
              </xdr:spPr>
            </xdr:pic>
          </xdr:grpSp>
        </mc:Choice>
        <mc:Fallback/>
      </mc:AlternateContent>
    </xdr:grpSp>
    <xdr:clientData/>
  </xdr:twoCellAnchor>
</xdr:wsDr>
</file>

<file path=xl/drawings/drawing9.xml><?xml version="1.0" encoding="utf-8"?>
<xdr:wsDr xmlns:xdr="http://schemas.openxmlformats.org/drawingml/2006/spreadsheetDrawing" xmlns:a="http://schemas.openxmlformats.org/drawingml/2006/main">
  <xdr:twoCellAnchor>
    <xdr:from>
      <xdr:col>12</xdr:col>
      <xdr:colOff>285750</xdr:colOff>
      <xdr:row>4</xdr:row>
      <xdr:rowOff>152400</xdr:rowOff>
    </xdr:from>
    <xdr:to>
      <xdr:col>16</xdr:col>
      <xdr:colOff>138840</xdr:colOff>
      <xdr:row>4</xdr:row>
      <xdr:rowOff>314326</xdr:rowOff>
    </xdr:to>
    <xdr:sp macro="" textlink="">
      <xdr:nvSpPr>
        <xdr:cNvPr id="8" name="Rectangle 7">
          <a:extLst>
            <a:ext uri="{FF2B5EF4-FFF2-40B4-BE49-F238E27FC236}">
              <a16:creationId xmlns:a16="http://schemas.microsoft.com/office/drawing/2014/main" id="{00000000-0008-0000-0900-000008000000}"/>
            </a:ext>
          </a:extLst>
        </xdr:cNvPr>
        <xdr:cNvSpPr/>
      </xdr:nvSpPr>
      <xdr:spPr>
        <a:xfrm>
          <a:off x="5972175" y="1019175"/>
          <a:ext cx="1681890" cy="161926"/>
        </a:xfrm>
        <a:prstGeom prst="rect">
          <a:avLst/>
        </a:prstGeom>
        <a:solidFill>
          <a:schemeClr val="accent1"/>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lIns="0" tIns="0" rIns="0" bIns="0" rtlCol="0" anchor="ctr"/>
        <a:lstStyle/>
        <a:p>
          <a:pPr algn="ctr"/>
          <a:r>
            <a:rPr lang="en-GB" sz="900" b="0">
              <a:solidFill>
                <a:schemeClr val="bg1"/>
              </a:solidFill>
            </a:rPr>
            <a:t>Reflect Price</a:t>
          </a:r>
          <a:r>
            <a:rPr lang="en-GB" sz="900" b="0" baseline="0">
              <a:solidFill>
                <a:schemeClr val="bg1"/>
              </a:solidFill>
            </a:rPr>
            <a:t> Inflation?</a:t>
          </a:r>
          <a:endParaRPr lang="en-GB" sz="900" b="0">
            <a:solidFill>
              <a:schemeClr val="bg1"/>
            </a:solidFill>
          </a:endParaRPr>
        </a:p>
      </xdr:txBody>
    </xdr:sp>
    <xdr:clientData fPrintsWithSheet="0"/>
  </xdr:twoCellAnchor>
  <xdr:twoCellAnchor>
    <xdr:from>
      <xdr:col>12</xdr:col>
      <xdr:colOff>285750</xdr:colOff>
      <xdr:row>4</xdr:row>
      <xdr:rowOff>1</xdr:rowOff>
    </xdr:from>
    <xdr:to>
      <xdr:col>16</xdr:col>
      <xdr:colOff>138840</xdr:colOff>
      <xdr:row>4</xdr:row>
      <xdr:rowOff>158328</xdr:rowOff>
    </xdr:to>
    <xdr:sp macro="" textlink="M5">
      <xdr:nvSpPr>
        <xdr:cNvPr id="9" name="Rectangle 8">
          <a:extLst>
            <a:ext uri="{FF2B5EF4-FFF2-40B4-BE49-F238E27FC236}">
              <a16:creationId xmlns:a16="http://schemas.microsoft.com/office/drawing/2014/main" id="{00000000-0008-0000-0900-000009000000}"/>
            </a:ext>
          </a:extLst>
        </xdr:cNvPr>
        <xdr:cNvSpPr/>
      </xdr:nvSpPr>
      <xdr:spPr>
        <a:xfrm>
          <a:off x="5972175" y="866776"/>
          <a:ext cx="1681890" cy="158327"/>
        </a:xfrm>
        <a:prstGeom prst="rect">
          <a:avLst/>
        </a:prstGeom>
        <a:solidFill>
          <a:schemeClr val="accent1"/>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lIns="0" tIns="0" rIns="0" bIns="0" rtlCol="0" anchor="ctr"/>
        <a:lstStyle/>
        <a:p>
          <a:pPr algn="ctr"/>
          <a:fld id="{E78AF480-5E6A-4795-BF5C-6A90553519FD}" type="TxLink">
            <a:rPr lang="en-US" sz="900" b="1" i="0" u="none" strike="noStrike">
              <a:solidFill>
                <a:schemeClr val="bg1"/>
              </a:solidFill>
              <a:latin typeface="Calibri"/>
            </a:rPr>
            <a:pPr algn="ctr"/>
            <a:t>INDEXATION TO 2022 PRICES</a:t>
          </a:fld>
          <a:endParaRPr lang="en-GB" sz="900" b="1">
            <a:solidFill>
              <a:schemeClr val="bg1"/>
            </a:solidFill>
          </a:endParaRPr>
        </a:p>
      </xdr:txBody>
    </xdr:sp>
    <xdr:clientData fPrintsWithSheet="0"/>
  </xdr:twoCellAnchor>
  <xdr:twoCellAnchor>
    <xdr:from>
      <xdr:col>4</xdr:col>
      <xdr:colOff>91441</xdr:colOff>
      <xdr:row>1</xdr:row>
      <xdr:rowOff>106680</xdr:rowOff>
    </xdr:from>
    <xdr:to>
      <xdr:col>4</xdr:col>
      <xdr:colOff>358141</xdr:colOff>
      <xdr:row>2</xdr:row>
      <xdr:rowOff>260040</xdr:rowOff>
    </xdr:to>
    <xdr:pic>
      <xdr:nvPicPr>
        <xdr:cNvPr id="10" name="Picture 9" descr="logovvsm.jpg">
          <a:extLst>
            <a:ext uri="{FF2B5EF4-FFF2-40B4-BE49-F238E27FC236}">
              <a16:creationId xmlns:a16="http://schemas.microsoft.com/office/drawing/2014/main" id="{00000000-0008-0000-0900-00000A000000}"/>
            </a:ext>
          </a:extLst>
        </xdr:cNvPr>
        <xdr:cNvPicPr>
          <a:picLocks noChangeAspect="1"/>
        </xdr:cNvPicPr>
      </xdr:nvPicPr>
      <xdr:blipFill>
        <a:blip xmlns:r="http://schemas.openxmlformats.org/officeDocument/2006/relationships" r:embed="rId1" cstate="print"/>
        <a:stretch>
          <a:fillRect/>
        </a:stretch>
      </xdr:blipFill>
      <xdr:spPr>
        <a:xfrm>
          <a:off x="1386841" y="106680"/>
          <a:ext cx="266700" cy="353385"/>
        </a:xfrm>
        <a:prstGeom prst="roundRect">
          <a:avLst>
            <a:gd name="adj" fmla="val 8594"/>
          </a:avLst>
        </a:prstGeom>
        <a:solidFill>
          <a:srgbClr val="FFFFFF">
            <a:shade val="85000"/>
          </a:srgbClr>
        </a:solidFill>
        <a:ln>
          <a:noFill/>
        </a:ln>
        <a:effectLst>
          <a:outerShdw blurRad="63500" sx="102000" sy="102000" algn="ctr" rotWithShape="0">
            <a:prstClr val="black">
              <a:alpha val="40000"/>
            </a:prstClr>
          </a:outerShdw>
        </a:effectLst>
      </xdr:spPr>
    </xdr:pic>
    <xdr:clientData/>
  </xdr:twoCellAnchor>
  <xdr:twoCellAnchor>
    <xdr:from>
      <xdr:col>4</xdr:col>
      <xdr:colOff>403860</xdr:colOff>
      <xdr:row>1</xdr:row>
      <xdr:rowOff>99060</xdr:rowOff>
    </xdr:from>
    <xdr:to>
      <xdr:col>7</xdr:col>
      <xdr:colOff>251460</xdr:colOff>
      <xdr:row>2</xdr:row>
      <xdr:rowOff>274320</xdr:rowOff>
    </xdr:to>
    <xdr:sp macro="" textlink="REP.gts">
      <xdr:nvSpPr>
        <xdr:cNvPr id="11" name="TextBox 10">
          <a:extLst>
            <a:ext uri="{FF2B5EF4-FFF2-40B4-BE49-F238E27FC236}">
              <a16:creationId xmlns:a16="http://schemas.microsoft.com/office/drawing/2014/main" id="{00000000-0008-0000-0900-00000B000000}"/>
            </a:ext>
          </a:extLst>
        </xdr:cNvPr>
        <xdr:cNvSpPr txBox="1"/>
      </xdr:nvSpPr>
      <xdr:spPr>
        <a:xfrm>
          <a:off x="1699260" y="99060"/>
          <a:ext cx="1952625" cy="37528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fld id="{3BA988AB-649B-451C-8315-D0DA89BAC50D}" type="TxLink">
            <a:rPr lang="en-US" sz="900" b="1" i="0" u="none" strike="noStrike">
              <a:solidFill>
                <a:srgbClr val="000000"/>
              </a:solidFill>
              <a:latin typeface="+mn-lt"/>
            </a:rPr>
            <a:pPr algn="l"/>
            <a:t>Global Tourism Solutions (UK) Ltd</a:t>
          </a:fld>
          <a:endParaRPr lang="en-GB" sz="900" b="1">
            <a:latin typeface="+mn-lt"/>
          </a:endParaRPr>
        </a:p>
      </xdr:txBody>
    </xdr:sp>
    <xdr:clientData/>
  </xdr:twoCellAnchor>
  <xdr:twoCellAnchor>
    <xdr:from>
      <xdr:col>4</xdr:col>
      <xdr:colOff>60960</xdr:colOff>
      <xdr:row>3</xdr:row>
      <xdr:rowOff>15240</xdr:rowOff>
    </xdr:from>
    <xdr:to>
      <xdr:col>21</xdr:col>
      <xdr:colOff>45720</xdr:colOff>
      <xdr:row>3</xdr:row>
      <xdr:rowOff>320040</xdr:rowOff>
    </xdr:to>
    <xdr:sp macro="" textlink="">
      <xdr:nvSpPr>
        <xdr:cNvPr id="12" name="Rectangle 11">
          <a:extLst>
            <a:ext uri="{FF2B5EF4-FFF2-40B4-BE49-F238E27FC236}">
              <a16:creationId xmlns:a16="http://schemas.microsoft.com/office/drawing/2014/main" id="{00000000-0008-0000-0900-00000C000000}"/>
            </a:ext>
          </a:extLst>
        </xdr:cNvPr>
        <xdr:cNvSpPr/>
      </xdr:nvSpPr>
      <xdr:spPr>
        <a:xfrm>
          <a:off x="1356360" y="548640"/>
          <a:ext cx="8490585" cy="304800"/>
        </a:xfrm>
        <a:prstGeom prst="rect">
          <a:avLst/>
        </a:prstGeom>
        <a:noFill/>
        <a:ln>
          <a:noFill/>
        </a:ln>
        <a:effectLst>
          <a:outerShdw blurRad="63500" sx="102000" sy="102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lIns="36000" tIns="36000" rIns="36000" bIns="36000" rtlCol="0" anchor="ctr"/>
        <a:lstStyle/>
        <a:p>
          <a:pPr algn="l"/>
          <a:r>
            <a:rPr lang="en-GB" sz="1000" b="1">
              <a:solidFill>
                <a:schemeClr val="bg1"/>
              </a:solidFill>
            </a:rPr>
            <a:t>REPORT CONTROLS </a:t>
          </a:r>
          <a:r>
            <a:rPr lang="en-GB" sz="1000" b="0" i="1">
              <a:solidFill>
                <a:schemeClr val="bg1"/>
              </a:solidFill>
            </a:rPr>
            <a:t>- Please adjust the report outputs</a:t>
          </a:r>
          <a:r>
            <a:rPr lang="en-GB" sz="1000" b="0" i="1" baseline="0">
              <a:solidFill>
                <a:schemeClr val="bg1"/>
              </a:solidFill>
            </a:rPr>
            <a:t> using the drop-down controls below</a:t>
          </a:r>
        </a:p>
      </xdr:txBody>
    </xdr:sp>
    <xdr:clientData fPrintsWithSheet="0"/>
  </xdr:twoCellAnchor>
  <xdr:twoCellAnchor editAs="oneCell">
    <xdr:from>
      <xdr:col>22</xdr:col>
      <xdr:colOff>320041</xdr:colOff>
      <xdr:row>3</xdr:row>
      <xdr:rowOff>45721</xdr:rowOff>
    </xdr:from>
    <xdr:to>
      <xdr:col>23</xdr:col>
      <xdr:colOff>398146</xdr:colOff>
      <xdr:row>4</xdr:row>
      <xdr:rowOff>299165</xdr:rowOff>
    </xdr:to>
    <xdr:pic>
      <xdr:nvPicPr>
        <xdr:cNvPr id="13" name="Picture 12">
          <a:hlinkClick xmlns:r="http://schemas.openxmlformats.org/officeDocument/2006/relationships" r:id="rId2" tooltip="Home - Navigation Page"/>
          <a:extLst>
            <a:ext uri="{FF2B5EF4-FFF2-40B4-BE49-F238E27FC236}">
              <a16:creationId xmlns:a16="http://schemas.microsoft.com/office/drawing/2014/main" id="{00000000-0008-0000-0900-00000D000000}"/>
            </a:ext>
          </a:extLst>
        </xdr:cNvPr>
        <xdr:cNvPicPr>
          <a:picLocks noChangeAspect="1"/>
        </xdr:cNvPicPr>
      </xdr:nvPicPr>
      <xdr:blipFill>
        <a:blip xmlns:r="http://schemas.openxmlformats.org/officeDocument/2006/relationships" r:embed="rId3" cstate="print">
          <a:grayscl/>
          <a:extLst>
            <a:ext uri="{28A0092B-C50C-407E-A947-70E740481C1C}">
              <a14:useLocalDpi xmlns:a14="http://schemas.microsoft.com/office/drawing/2010/main" val="0"/>
            </a:ext>
          </a:extLst>
        </a:blip>
        <a:stretch>
          <a:fillRect/>
        </a:stretch>
      </xdr:blipFill>
      <xdr:spPr>
        <a:xfrm>
          <a:off x="10578466" y="579121"/>
          <a:ext cx="563880" cy="586819"/>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16</xdr:col>
          <xdr:colOff>76200</xdr:colOff>
          <xdr:row>4</xdr:row>
          <xdr:rowOff>22860</xdr:rowOff>
        </xdr:from>
        <xdr:to>
          <xdr:col>17</xdr:col>
          <xdr:colOff>297180</xdr:colOff>
          <xdr:row>4</xdr:row>
          <xdr:rowOff>297180</xdr:rowOff>
        </xdr:to>
        <xdr:sp macro="" textlink="">
          <xdr:nvSpPr>
            <xdr:cNvPr id="189441" name="Drop Down 1" hidden="1">
              <a:extLst>
                <a:ext uri="{63B3BB69-23CF-44E3-9099-C40C66FF867C}">
                  <a14:compatExt spid="_x0000_s189441"/>
                </a:ext>
                <a:ext uri="{FF2B5EF4-FFF2-40B4-BE49-F238E27FC236}">
                  <a16:creationId xmlns:a16="http://schemas.microsoft.com/office/drawing/2014/main" id="{00000000-0008-0000-0900-000001E4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7</xdr:col>
      <xdr:colOff>236220</xdr:colOff>
      <xdr:row>1</xdr:row>
      <xdr:rowOff>91440</xdr:rowOff>
    </xdr:from>
    <xdr:to>
      <xdr:col>22</xdr:col>
      <xdr:colOff>182880</xdr:colOff>
      <xdr:row>2</xdr:row>
      <xdr:rowOff>190500</xdr:rowOff>
    </xdr:to>
    <xdr:sp macro="" textlink="">
      <xdr:nvSpPr>
        <xdr:cNvPr id="15" name="Rectangle 14">
          <a:extLst>
            <a:ext uri="{FF2B5EF4-FFF2-40B4-BE49-F238E27FC236}">
              <a16:creationId xmlns:a16="http://schemas.microsoft.com/office/drawing/2014/main" id="{00000000-0008-0000-0900-00000F000000}"/>
            </a:ext>
          </a:extLst>
        </xdr:cNvPr>
        <xdr:cNvSpPr/>
      </xdr:nvSpPr>
      <xdr:spPr>
        <a:xfrm>
          <a:off x="3636645" y="91440"/>
          <a:ext cx="6804660" cy="299085"/>
        </a:xfrm>
        <a:prstGeom prst="rect">
          <a:avLst/>
        </a:prstGeom>
        <a:noFill/>
        <a:ln>
          <a:noFill/>
        </a:ln>
        <a:effectLst>
          <a:outerShdw blurRad="63500" sx="102000" sy="102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lIns="36000" tIns="36000" rIns="36000" bIns="36000" rtlCol="0" anchor="ctr"/>
        <a:lstStyle/>
        <a:p>
          <a:pPr algn="r"/>
          <a:r>
            <a:rPr lang="en-GB" sz="1000" b="1">
              <a:solidFill>
                <a:schemeClr val="tx1">
                  <a:lumMod val="65000"/>
                  <a:lumOff val="35000"/>
                </a:schemeClr>
              </a:solidFill>
            </a:rPr>
            <a:t>Pressing this on-screen "Home" button on</a:t>
          </a:r>
          <a:r>
            <a:rPr lang="en-GB" sz="1000" b="1" baseline="0">
              <a:solidFill>
                <a:schemeClr val="tx1">
                  <a:lumMod val="65000"/>
                  <a:lumOff val="35000"/>
                </a:schemeClr>
              </a:solidFill>
            </a:rPr>
            <a:t> any sheet of the report takes you back to the navigation page</a:t>
          </a:r>
          <a:endParaRPr lang="en-GB" sz="1000" b="0" i="1" baseline="0">
            <a:solidFill>
              <a:schemeClr val="tx1">
                <a:lumMod val="65000"/>
                <a:lumOff val="35000"/>
              </a:schemeClr>
            </a:solidFill>
          </a:endParaRPr>
        </a:p>
      </xdr:txBody>
    </xdr:sp>
    <xdr:clientData fPrintsWithSheet="0"/>
  </xdr:twoCellAnchor>
  <xdr:twoCellAnchor>
    <xdr:from>
      <xdr:col>22</xdr:col>
      <xdr:colOff>232410</xdr:colOff>
      <xdr:row>2</xdr:row>
      <xdr:rowOff>11430</xdr:rowOff>
    </xdr:from>
    <xdr:to>
      <xdr:col>23</xdr:col>
      <xdr:colOff>190500</xdr:colOff>
      <xdr:row>2</xdr:row>
      <xdr:rowOff>281940</xdr:rowOff>
    </xdr:to>
    <xdr:sp macro="" textlink="">
      <xdr:nvSpPr>
        <xdr:cNvPr id="16" name="Bent Arrow 15">
          <a:extLst>
            <a:ext uri="{FF2B5EF4-FFF2-40B4-BE49-F238E27FC236}">
              <a16:creationId xmlns:a16="http://schemas.microsoft.com/office/drawing/2014/main" id="{00000000-0008-0000-0900-000010000000}"/>
            </a:ext>
          </a:extLst>
        </xdr:cNvPr>
        <xdr:cNvSpPr/>
      </xdr:nvSpPr>
      <xdr:spPr>
        <a:xfrm rot="5400000">
          <a:off x="10563225" y="139065"/>
          <a:ext cx="270510" cy="415290"/>
        </a:xfrm>
        <a:prstGeom prst="bentArrow">
          <a:avLst/>
        </a:prstGeom>
        <a:solidFill>
          <a:schemeClr val="bg1">
            <a:lumMod val="85000"/>
          </a:schemeClr>
        </a:solidFill>
        <a:ln w="22225">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chemeClr val="tx1"/>
            </a:solidFill>
          </a:endParaRPr>
        </a:p>
      </xdr:txBody>
    </xdr:sp>
    <xdr:clientData/>
  </xdr:twoCellAnchor>
  <xdr:twoCellAnchor>
    <xdr:from>
      <xdr:col>4</xdr:col>
      <xdr:colOff>19050</xdr:colOff>
      <xdr:row>4</xdr:row>
      <xdr:rowOff>0</xdr:rowOff>
    </xdr:from>
    <xdr:to>
      <xdr:col>5</xdr:col>
      <xdr:colOff>339090</xdr:colOff>
      <xdr:row>4</xdr:row>
      <xdr:rowOff>327660</xdr:rowOff>
    </xdr:to>
    <xdr:sp macro="" textlink="">
      <xdr:nvSpPr>
        <xdr:cNvPr id="18" name="Rectangle 17">
          <a:extLst>
            <a:ext uri="{FF2B5EF4-FFF2-40B4-BE49-F238E27FC236}">
              <a16:creationId xmlns:a16="http://schemas.microsoft.com/office/drawing/2014/main" id="{00000000-0008-0000-0900-000012000000}"/>
            </a:ext>
          </a:extLst>
        </xdr:cNvPr>
        <xdr:cNvSpPr/>
      </xdr:nvSpPr>
      <xdr:spPr>
        <a:xfrm>
          <a:off x="1314450" y="866775"/>
          <a:ext cx="1624965" cy="327660"/>
        </a:xfrm>
        <a:prstGeom prst="rect">
          <a:avLst/>
        </a:prstGeom>
        <a:solidFill>
          <a:srgbClr val="00B0F0"/>
        </a:solidFill>
        <a:ln>
          <a:noFill/>
        </a:ln>
        <a:effectLst>
          <a:outerShdw blurRad="63500" sx="101000" sy="101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lIns="0" tIns="0" rIns="0" bIns="0" rtlCol="0" anchor="ctr"/>
        <a:lstStyle/>
        <a:p>
          <a:pPr algn="ctr"/>
          <a:r>
            <a:rPr lang="en-GB" sz="900" b="1" baseline="0">
              <a:solidFill>
                <a:schemeClr val="bg1"/>
              </a:solidFill>
            </a:rPr>
            <a:t>CHARTS SHOW</a:t>
          </a:r>
        </a:p>
      </xdr:txBody>
    </xdr:sp>
    <xdr:clientData fPrintsWithSheet="0"/>
  </xdr:twoCellAnchor>
  <mc:AlternateContent xmlns:mc="http://schemas.openxmlformats.org/markup-compatibility/2006">
    <mc:Choice xmlns:a14="http://schemas.microsoft.com/office/drawing/2010/main" Requires="a14">
      <xdr:twoCellAnchor editAs="oneCell">
        <xdr:from>
          <xdr:col>5</xdr:col>
          <xdr:colOff>335280</xdr:colOff>
          <xdr:row>4</xdr:row>
          <xdr:rowOff>22860</xdr:rowOff>
        </xdr:from>
        <xdr:to>
          <xdr:col>7</xdr:col>
          <xdr:colOff>198120</xdr:colOff>
          <xdr:row>4</xdr:row>
          <xdr:rowOff>297180</xdr:rowOff>
        </xdr:to>
        <xdr:sp macro="" textlink="">
          <xdr:nvSpPr>
            <xdr:cNvPr id="189442" name="Drop Down 2" hidden="1">
              <a:extLst>
                <a:ext uri="{63B3BB69-23CF-44E3-9099-C40C66FF867C}">
                  <a14:compatExt spid="_x0000_s189442"/>
                </a:ext>
                <a:ext uri="{FF2B5EF4-FFF2-40B4-BE49-F238E27FC236}">
                  <a16:creationId xmlns:a16="http://schemas.microsoft.com/office/drawing/2014/main" id="{00000000-0008-0000-0900-000002E4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4</xdr:col>
      <xdr:colOff>19050</xdr:colOff>
      <xdr:row>8</xdr:row>
      <xdr:rowOff>38100</xdr:rowOff>
    </xdr:from>
    <xdr:to>
      <xdr:col>13</xdr:col>
      <xdr:colOff>409575</xdr:colOff>
      <xdr:row>20</xdr:row>
      <xdr:rowOff>176212</xdr:rowOff>
    </xdr:to>
    <xdr:graphicFrame macro="">
      <xdr:nvGraphicFramePr>
        <xdr:cNvPr id="14" name="CHART.EIMONTHDIST">
          <a:extLst>
            <a:ext uri="{FF2B5EF4-FFF2-40B4-BE49-F238E27FC236}">
              <a16:creationId xmlns:a16="http://schemas.microsoft.com/office/drawing/2014/main" id="{00000000-0008-0000-0900-00000E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13</xdr:col>
      <xdr:colOff>476250</xdr:colOff>
      <xdr:row>8</xdr:row>
      <xdr:rowOff>38100</xdr:rowOff>
    </xdr:from>
    <xdr:to>
      <xdr:col>23</xdr:col>
      <xdr:colOff>428625</xdr:colOff>
      <xdr:row>20</xdr:row>
      <xdr:rowOff>176212</xdr:rowOff>
    </xdr:to>
    <xdr:graphicFrame macro="">
      <xdr:nvGraphicFramePr>
        <xdr:cNvPr id="31" name="CHART.TNMONTHDIST">
          <a:extLst>
            <a:ext uri="{FF2B5EF4-FFF2-40B4-BE49-F238E27FC236}">
              <a16:creationId xmlns:a16="http://schemas.microsoft.com/office/drawing/2014/main" id="{00000000-0008-0000-0900-00001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28575</xdr:colOff>
      <xdr:row>23</xdr:row>
      <xdr:rowOff>47625</xdr:rowOff>
    </xdr:from>
    <xdr:to>
      <xdr:col>23</xdr:col>
      <xdr:colOff>466725</xdr:colOff>
      <xdr:row>35</xdr:row>
      <xdr:rowOff>185737</xdr:rowOff>
    </xdr:to>
    <xdr:graphicFrame macro="">
      <xdr:nvGraphicFramePr>
        <xdr:cNvPr id="32" name="CHART.EMMONTHDIST">
          <a:extLst>
            <a:ext uri="{FF2B5EF4-FFF2-40B4-BE49-F238E27FC236}">
              <a16:creationId xmlns:a16="http://schemas.microsoft.com/office/drawing/2014/main" id="{00000000-0008-0000-0900-00002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xdr:col>
      <xdr:colOff>123825</xdr:colOff>
      <xdr:row>23</xdr:row>
      <xdr:rowOff>66675</xdr:rowOff>
    </xdr:from>
    <xdr:to>
      <xdr:col>14</xdr:col>
      <xdr:colOff>57150</xdr:colOff>
      <xdr:row>36</xdr:row>
      <xdr:rowOff>4762</xdr:rowOff>
    </xdr:to>
    <xdr:graphicFrame macro="">
      <xdr:nvGraphicFramePr>
        <xdr:cNvPr id="33" name="CHART.TDMONTHDIST">
          <a:extLst>
            <a:ext uri="{FF2B5EF4-FFF2-40B4-BE49-F238E27FC236}">
              <a16:creationId xmlns:a16="http://schemas.microsoft.com/office/drawing/2014/main" id="{00000000-0008-0000-0900-00002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xdr:col>
      <xdr:colOff>371475</xdr:colOff>
      <xdr:row>17</xdr:row>
      <xdr:rowOff>57150</xdr:rowOff>
    </xdr:from>
    <xdr:to>
      <xdr:col>12</xdr:col>
      <xdr:colOff>171450</xdr:colOff>
      <xdr:row>19</xdr:row>
      <xdr:rowOff>104775</xdr:rowOff>
    </xdr:to>
    <xdr:sp macro="" textlink="">
      <xdr:nvSpPr>
        <xdr:cNvPr id="2" name="TextBox 1">
          <a:extLst>
            <a:ext uri="{FF2B5EF4-FFF2-40B4-BE49-F238E27FC236}">
              <a16:creationId xmlns:a16="http://schemas.microsoft.com/office/drawing/2014/main" id="{00000000-0008-0000-0900-000002000000}"/>
            </a:ext>
          </a:extLst>
        </xdr:cNvPr>
        <xdr:cNvSpPr txBox="1"/>
      </xdr:nvSpPr>
      <xdr:spPr>
        <a:xfrm>
          <a:off x="1809750" y="3657600"/>
          <a:ext cx="4362450" cy="447675"/>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0" rIns="0" bIns="0" rtlCol="0" anchor="ctr" anchorCtr="0"/>
        <a:lstStyle/>
        <a:p>
          <a:r>
            <a:rPr lang="en-GB" sz="1000">
              <a:solidFill>
                <a:schemeClr val="tx1">
                  <a:lumMod val="50000"/>
                  <a:lumOff val="50000"/>
                </a:schemeClr>
              </a:solidFill>
            </a:rPr>
            <a:t>Share of</a:t>
          </a:r>
        </a:p>
        <a:p>
          <a:r>
            <a:rPr lang="en-GB" sz="1000">
              <a:solidFill>
                <a:schemeClr val="tx1">
                  <a:lumMod val="50000"/>
                  <a:lumOff val="50000"/>
                </a:schemeClr>
              </a:solidFill>
            </a:rPr>
            <a:t>100%</a:t>
          </a:r>
        </a:p>
      </xdr:txBody>
    </xdr:sp>
    <xdr:clientData/>
  </xdr:twoCellAnchor>
  <xdr:twoCellAnchor>
    <xdr:from>
      <xdr:col>4</xdr:col>
      <xdr:colOff>352425</xdr:colOff>
      <xdr:row>32</xdr:row>
      <xdr:rowOff>57150</xdr:rowOff>
    </xdr:from>
    <xdr:to>
      <xdr:col>12</xdr:col>
      <xdr:colOff>219075</xdr:colOff>
      <xdr:row>34</xdr:row>
      <xdr:rowOff>104775</xdr:rowOff>
    </xdr:to>
    <xdr:sp macro="" textlink="">
      <xdr:nvSpPr>
        <xdr:cNvPr id="20" name="TextBox 19">
          <a:extLst>
            <a:ext uri="{FF2B5EF4-FFF2-40B4-BE49-F238E27FC236}">
              <a16:creationId xmlns:a16="http://schemas.microsoft.com/office/drawing/2014/main" id="{00000000-0008-0000-0900-000014000000}"/>
            </a:ext>
          </a:extLst>
        </xdr:cNvPr>
        <xdr:cNvSpPr txBox="1"/>
      </xdr:nvSpPr>
      <xdr:spPr>
        <a:xfrm>
          <a:off x="1647825" y="6457950"/>
          <a:ext cx="4257675" cy="447675"/>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0" rIns="0" bIns="0" rtlCol="0" anchor="ctr" anchorCtr="0"/>
        <a:lstStyle/>
        <a:p>
          <a:r>
            <a:rPr lang="en-GB" sz="1000">
              <a:solidFill>
                <a:schemeClr val="tx1">
                  <a:lumMod val="50000"/>
                  <a:lumOff val="50000"/>
                </a:schemeClr>
              </a:solidFill>
            </a:rPr>
            <a:t>Share of</a:t>
          </a:r>
        </a:p>
        <a:p>
          <a:r>
            <a:rPr lang="en-GB" sz="1000">
              <a:solidFill>
                <a:schemeClr val="tx1">
                  <a:lumMod val="50000"/>
                  <a:lumOff val="50000"/>
                </a:schemeClr>
              </a:solidFill>
            </a:rPr>
            <a:t>100%</a:t>
          </a:r>
        </a:p>
      </xdr:txBody>
    </xdr:sp>
    <xdr:clientData/>
  </xdr:twoCellAnchor>
  <xdr:twoCellAnchor>
    <xdr:from>
      <xdr:col>13</xdr:col>
      <xdr:colOff>438150</xdr:colOff>
      <xdr:row>32</xdr:row>
      <xdr:rowOff>66675</xdr:rowOff>
    </xdr:from>
    <xdr:to>
      <xdr:col>23</xdr:col>
      <xdr:colOff>9525</xdr:colOff>
      <xdr:row>34</xdr:row>
      <xdr:rowOff>114300</xdr:rowOff>
    </xdr:to>
    <xdr:sp macro="" textlink="">
      <xdr:nvSpPr>
        <xdr:cNvPr id="22" name="TextBox 21">
          <a:extLst>
            <a:ext uri="{FF2B5EF4-FFF2-40B4-BE49-F238E27FC236}">
              <a16:creationId xmlns:a16="http://schemas.microsoft.com/office/drawing/2014/main" id="{00000000-0008-0000-0900-000016000000}"/>
            </a:ext>
          </a:extLst>
        </xdr:cNvPr>
        <xdr:cNvSpPr txBox="1"/>
      </xdr:nvSpPr>
      <xdr:spPr>
        <a:xfrm>
          <a:off x="6581775" y="6467475"/>
          <a:ext cx="4143375" cy="447675"/>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0" rIns="0" bIns="0" rtlCol="0" anchor="ctr" anchorCtr="0"/>
        <a:lstStyle/>
        <a:p>
          <a:r>
            <a:rPr lang="en-GB" sz="1000">
              <a:solidFill>
                <a:schemeClr val="tx1">
                  <a:lumMod val="50000"/>
                  <a:lumOff val="50000"/>
                </a:schemeClr>
              </a:solidFill>
            </a:rPr>
            <a:t>Share of</a:t>
          </a:r>
        </a:p>
        <a:p>
          <a:r>
            <a:rPr lang="en-GB" sz="1000">
              <a:solidFill>
                <a:schemeClr val="tx1">
                  <a:lumMod val="50000"/>
                  <a:lumOff val="50000"/>
                </a:schemeClr>
              </a:solidFill>
            </a:rPr>
            <a:t>100%</a:t>
          </a:r>
        </a:p>
      </xdr:txBody>
    </xdr:sp>
    <xdr:clientData/>
  </xdr:twoCellAnchor>
  <xdr:twoCellAnchor>
    <xdr:from>
      <xdr:col>13</xdr:col>
      <xdr:colOff>447675</xdr:colOff>
      <xdr:row>17</xdr:row>
      <xdr:rowOff>66675</xdr:rowOff>
    </xdr:from>
    <xdr:to>
      <xdr:col>23</xdr:col>
      <xdr:colOff>19050</xdr:colOff>
      <xdr:row>19</xdr:row>
      <xdr:rowOff>114300</xdr:rowOff>
    </xdr:to>
    <xdr:sp macro="" textlink="">
      <xdr:nvSpPr>
        <xdr:cNvPr id="24" name="TextBox 23">
          <a:extLst>
            <a:ext uri="{FF2B5EF4-FFF2-40B4-BE49-F238E27FC236}">
              <a16:creationId xmlns:a16="http://schemas.microsoft.com/office/drawing/2014/main" id="{00000000-0008-0000-0900-000018000000}"/>
            </a:ext>
          </a:extLst>
        </xdr:cNvPr>
        <xdr:cNvSpPr txBox="1"/>
      </xdr:nvSpPr>
      <xdr:spPr>
        <a:xfrm>
          <a:off x="6591300" y="3667125"/>
          <a:ext cx="4143375" cy="447675"/>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0" rIns="0" bIns="0" rtlCol="0" anchor="ctr" anchorCtr="0"/>
        <a:lstStyle/>
        <a:p>
          <a:r>
            <a:rPr lang="en-GB" sz="1000">
              <a:solidFill>
                <a:schemeClr val="tx1">
                  <a:lumMod val="50000"/>
                  <a:lumOff val="50000"/>
                </a:schemeClr>
              </a:solidFill>
            </a:rPr>
            <a:t>Share of</a:t>
          </a:r>
        </a:p>
        <a:p>
          <a:r>
            <a:rPr lang="en-GB" sz="1000">
              <a:solidFill>
                <a:schemeClr val="tx1">
                  <a:lumMod val="50000"/>
                  <a:lumOff val="50000"/>
                </a:schemeClr>
              </a:solidFill>
            </a:rPr>
            <a:t>100%</a:t>
          </a:r>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0.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9.xml"/><Relationship Id="rId1" Type="http://schemas.openxmlformats.org/officeDocument/2006/relationships/printerSettings" Target="../printerSettings/printerSettings9.bin"/><Relationship Id="rId5" Type="http://schemas.openxmlformats.org/officeDocument/2006/relationships/ctrlProp" Target="../ctrlProps/ctrlProp17.xml"/><Relationship Id="rId4" Type="http://schemas.openxmlformats.org/officeDocument/2006/relationships/ctrlProp" Target="../ctrlProps/ctrlProp16.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0.xml"/><Relationship Id="rId1" Type="http://schemas.openxmlformats.org/officeDocument/2006/relationships/printerSettings" Target="../printerSettings/printerSettings10.bin"/><Relationship Id="rId6" Type="http://schemas.openxmlformats.org/officeDocument/2006/relationships/ctrlProp" Target="../ctrlProps/ctrlProp20.xml"/><Relationship Id="rId5" Type="http://schemas.openxmlformats.org/officeDocument/2006/relationships/ctrlProp" Target="../ctrlProps/ctrlProp19.xml"/><Relationship Id="rId4" Type="http://schemas.openxmlformats.org/officeDocument/2006/relationships/ctrlProp" Target="../ctrlProps/ctrlProp18.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1.xml"/><Relationship Id="rId1" Type="http://schemas.openxmlformats.org/officeDocument/2006/relationships/printerSettings" Target="../printerSettings/printerSettings11.bin"/><Relationship Id="rId5" Type="http://schemas.openxmlformats.org/officeDocument/2006/relationships/ctrlProp" Target="../ctrlProps/ctrlProp22.xml"/><Relationship Id="rId4" Type="http://schemas.openxmlformats.org/officeDocument/2006/relationships/ctrlProp" Target="../ctrlProps/ctrlProp21.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2.xml"/><Relationship Id="rId1" Type="http://schemas.openxmlformats.org/officeDocument/2006/relationships/printerSettings" Target="../printerSettings/printerSettings12.bin"/><Relationship Id="rId5" Type="http://schemas.openxmlformats.org/officeDocument/2006/relationships/ctrlProp" Target="../ctrlProps/ctrlProp24.xml"/><Relationship Id="rId4" Type="http://schemas.openxmlformats.org/officeDocument/2006/relationships/ctrlProp" Target="../ctrlProps/ctrlProp23.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3.xml"/><Relationship Id="rId1" Type="http://schemas.openxmlformats.org/officeDocument/2006/relationships/printerSettings" Target="../printerSettings/printerSettings13.bin"/><Relationship Id="rId5" Type="http://schemas.openxmlformats.org/officeDocument/2006/relationships/ctrlProp" Target="../ctrlProps/ctrlProp26.xml"/><Relationship Id="rId4" Type="http://schemas.openxmlformats.org/officeDocument/2006/relationships/ctrlProp" Target="../ctrlProps/ctrlProp25.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4.xml"/><Relationship Id="rId1" Type="http://schemas.openxmlformats.org/officeDocument/2006/relationships/printerSettings" Target="../printerSettings/printerSettings14.bin"/><Relationship Id="rId5" Type="http://schemas.openxmlformats.org/officeDocument/2006/relationships/ctrlProp" Target="../ctrlProps/ctrlProp28.xml"/><Relationship Id="rId4" Type="http://schemas.openxmlformats.org/officeDocument/2006/relationships/ctrlProp" Target="../ctrlProps/ctrlProp27.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5.xml"/><Relationship Id="rId1" Type="http://schemas.openxmlformats.org/officeDocument/2006/relationships/printerSettings" Target="../printerSettings/printerSettings15.bin"/><Relationship Id="rId6" Type="http://schemas.openxmlformats.org/officeDocument/2006/relationships/ctrlProp" Target="../ctrlProps/ctrlProp31.xml"/><Relationship Id="rId5" Type="http://schemas.openxmlformats.org/officeDocument/2006/relationships/ctrlProp" Target="../ctrlProps/ctrlProp30.xml"/><Relationship Id="rId4" Type="http://schemas.openxmlformats.org/officeDocument/2006/relationships/ctrlProp" Target="../ctrlProps/ctrlProp29.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trlProp" Target="../ctrlProps/ctrlProp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6.xml"/><Relationship Id="rId3" Type="http://schemas.openxmlformats.org/officeDocument/2006/relationships/vmlDrawing" Target="../drawings/vmlDrawing2.vml"/><Relationship Id="rId7" Type="http://schemas.openxmlformats.org/officeDocument/2006/relationships/ctrlProp" Target="../ctrlProps/ctrlProp5.xml"/><Relationship Id="rId2" Type="http://schemas.openxmlformats.org/officeDocument/2006/relationships/drawing" Target="../drawings/drawing4.xml"/><Relationship Id="rId1" Type="http://schemas.openxmlformats.org/officeDocument/2006/relationships/printerSettings" Target="../printerSettings/printerSettings4.bin"/><Relationship Id="rId6" Type="http://schemas.openxmlformats.org/officeDocument/2006/relationships/ctrlProp" Target="../ctrlProps/ctrlProp4.xml"/><Relationship Id="rId5" Type="http://schemas.openxmlformats.org/officeDocument/2006/relationships/ctrlProp" Target="../ctrlProps/ctrlProp3.xml"/><Relationship Id="rId4" Type="http://schemas.openxmlformats.org/officeDocument/2006/relationships/ctrlProp" Target="../ctrlProps/ctrlProp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7" Type="http://schemas.openxmlformats.org/officeDocument/2006/relationships/ctrlProp" Target="../ctrlProps/ctrlProp10.xml"/><Relationship Id="rId2" Type="http://schemas.openxmlformats.org/officeDocument/2006/relationships/drawing" Target="../drawings/drawing6.xml"/><Relationship Id="rId1" Type="http://schemas.openxmlformats.org/officeDocument/2006/relationships/printerSettings" Target="../printerSettings/printerSettings6.bin"/><Relationship Id="rId6" Type="http://schemas.openxmlformats.org/officeDocument/2006/relationships/ctrlProp" Target="../ctrlProps/ctrlProp9.xml"/><Relationship Id="rId5" Type="http://schemas.openxmlformats.org/officeDocument/2006/relationships/ctrlProp" Target="../ctrlProps/ctrlProp8.xml"/><Relationship Id="rId4" Type="http://schemas.openxmlformats.org/officeDocument/2006/relationships/ctrlProp" Target="../ctrlProps/ctrlProp7.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7.xml"/><Relationship Id="rId1" Type="http://schemas.openxmlformats.org/officeDocument/2006/relationships/printerSettings" Target="../printerSettings/printerSettings7.bin"/><Relationship Id="rId6" Type="http://schemas.openxmlformats.org/officeDocument/2006/relationships/ctrlProp" Target="../ctrlProps/ctrlProp13.xml"/><Relationship Id="rId5" Type="http://schemas.openxmlformats.org/officeDocument/2006/relationships/ctrlProp" Target="../ctrlProps/ctrlProp12.xml"/><Relationship Id="rId4" Type="http://schemas.openxmlformats.org/officeDocument/2006/relationships/ctrlProp" Target="../ctrlProps/ctrlProp11.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8.xml"/><Relationship Id="rId1" Type="http://schemas.openxmlformats.org/officeDocument/2006/relationships/printerSettings" Target="../printerSettings/printerSettings8.bin"/><Relationship Id="rId5" Type="http://schemas.openxmlformats.org/officeDocument/2006/relationships/ctrlProp" Target="../ctrlProps/ctrlProp15.xml"/><Relationship Id="rId4" Type="http://schemas.openxmlformats.org/officeDocument/2006/relationships/ctrlProp" Target="../ctrlProps/ctrlProp1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GTS02"/>
  <dimension ref="A1:AD29"/>
  <sheetViews>
    <sheetView showGridLines="0" workbookViewId="0">
      <selection sqref="A1:AC29"/>
    </sheetView>
  </sheetViews>
  <sheetFormatPr defaultRowHeight="13.8" x14ac:dyDescent="0.3"/>
  <sheetData>
    <row r="1" spans="1:29" x14ac:dyDescent="0.3">
      <c r="A1" s="787"/>
      <c r="B1" s="787">
        <v>1995</v>
      </c>
      <c r="C1" s="787">
        <v>1996</v>
      </c>
      <c r="D1" s="787">
        <v>1997</v>
      </c>
      <c r="E1" s="787">
        <v>1998</v>
      </c>
      <c r="F1" s="787">
        <v>1999</v>
      </c>
      <c r="G1" s="787">
        <v>2000</v>
      </c>
      <c r="H1" s="787">
        <v>2001</v>
      </c>
      <c r="I1" s="787">
        <v>2002</v>
      </c>
      <c r="J1" s="787">
        <v>2003</v>
      </c>
      <c r="K1" s="787">
        <v>2004</v>
      </c>
      <c r="L1" s="787">
        <v>2005</v>
      </c>
      <c r="M1" s="787">
        <v>2006</v>
      </c>
      <c r="N1" s="787">
        <v>2007</v>
      </c>
      <c r="O1" s="787">
        <v>2008</v>
      </c>
      <c r="P1" s="787">
        <v>2009</v>
      </c>
      <c r="Q1" s="787">
        <v>2010</v>
      </c>
      <c r="R1" s="787">
        <v>2011</v>
      </c>
      <c r="S1" s="787">
        <v>2012</v>
      </c>
      <c r="T1" s="787">
        <v>2013</v>
      </c>
      <c r="U1" s="787">
        <v>2014</v>
      </c>
      <c r="V1" s="787">
        <v>2015</v>
      </c>
      <c r="W1" s="787">
        <v>2016</v>
      </c>
      <c r="X1" s="787">
        <v>2017</v>
      </c>
      <c r="Y1" s="787">
        <v>2018</v>
      </c>
      <c r="Z1" s="787">
        <v>2019</v>
      </c>
      <c r="AA1" s="787">
        <v>2020</v>
      </c>
      <c r="AB1" s="787">
        <v>2021</v>
      </c>
      <c r="AC1" s="787">
        <v>2022</v>
      </c>
    </row>
    <row r="2" spans="1:29" x14ac:dyDescent="0.3">
      <c r="A2" s="787">
        <v>1995</v>
      </c>
      <c r="B2" s="787">
        <v>1</v>
      </c>
      <c r="C2" s="787">
        <v>1.0289999999999999</v>
      </c>
      <c r="D2" s="787">
        <v>1.0580000000000001</v>
      </c>
      <c r="E2" s="787">
        <v>1.0920000000000001</v>
      </c>
      <c r="F2" s="787">
        <v>1.119</v>
      </c>
      <c r="G2" s="787">
        <v>1.141</v>
      </c>
      <c r="H2" s="787">
        <v>1.1719999999999999</v>
      </c>
      <c r="I2" s="787">
        <v>1.1870000000000001</v>
      </c>
      <c r="J2" s="787">
        <v>1.222</v>
      </c>
      <c r="K2" s="787">
        <v>1.254</v>
      </c>
      <c r="L2" s="787">
        <v>1.294</v>
      </c>
      <c r="M2" s="787">
        <v>1.325</v>
      </c>
      <c r="N2" s="787">
        <v>1.381</v>
      </c>
      <c r="O2" s="787">
        <v>1.4370000000000001</v>
      </c>
      <c r="P2" s="787">
        <v>1.4390000000000001</v>
      </c>
      <c r="Q2" s="787">
        <v>1.492</v>
      </c>
      <c r="R2" s="787">
        <v>1.5680000000000001</v>
      </c>
      <c r="S2" s="787">
        <v>1.63</v>
      </c>
      <c r="T2" s="787">
        <v>1.6839999999999999</v>
      </c>
      <c r="U2" s="787">
        <v>1.73</v>
      </c>
      <c r="V2" s="787">
        <v>1.7490000000000001</v>
      </c>
      <c r="W2" s="787">
        <v>1.7729999999999999</v>
      </c>
      <c r="X2" s="787">
        <v>1.8180000000000001</v>
      </c>
      <c r="Y2" s="787">
        <v>1.89</v>
      </c>
      <c r="Z2" s="787">
        <v>1.9339999999999999</v>
      </c>
      <c r="AA2" s="787">
        <v>1.9859378091872792</v>
      </c>
      <c r="AB2" s="787">
        <v>2.0132734982332159</v>
      </c>
      <c r="AC2" s="787">
        <v>2.1711371024734984</v>
      </c>
    </row>
    <row r="3" spans="1:29" x14ac:dyDescent="0.3">
      <c r="A3" s="787">
        <v>1996</v>
      </c>
      <c r="B3" s="787">
        <v>0.97199999999999998</v>
      </c>
      <c r="C3" s="787">
        <v>1</v>
      </c>
      <c r="D3" s="787">
        <v>1.028</v>
      </c>
      <c r="E3" s="787">
        <v>1.0620000000000001</v>
      </c>
      <c r="F3" s="787">
        <v>1.0880000000000001</v>
      </c>
      <c r="G3" s="787">
        <v>1.109</v>
      </c>
      <c r="H3" s="787">
        <v>1.139</v>
      </c>
      <c r="I3" s="787">
        <v>1.1539999999999999</v>
      </c>
      <c r="J3" s="787">
        <v>1.1879999999999999</v>
      </c>
      <c r="K3" s="787">
        <v>1.2190000000000001</v>
      </c>
      <c r="L3" s="787">
        <v>1.258</v>
      </c>
      <c r="M3" s="787">
        <v>1.288</v>
      </c>
      <c r="N3" s="787">
        <v>1.3420000000000001</v>
      </c>
      <c r="O3" s="787">
        <v>1.397</v>
      </c>
      <c r="P3" s="787">
        <v>1.399</v>
      </c>
      <c r="Q3" s="787">
        <v>1.4510000000000001</v>
      </c>
      <c r="R3" s="787">
        <v>1.5249999999999999</v>
      </c>
      <c r="S3" s="787">
        <v>1.585</v>
      </c>
      <c r="T3" s="787">
        <v>1.6359999999999999</v>
      </c>
      <c r="U3" s="787">
        <v>1.6819999999999999</v>
      </c>
      <c r="V3" s="787">
        <v>1.7</v>
      </c>
      <c r="W3" s="787">
        <v>1.7230000000000001</v>
      </c>
      <c r="X3" s="787">
        <v>1.768</v>
      </c>
      <c r="Y3" s="787">
        <v>1.8380000000000001</v>
      </c>
      <c r="Z3" s="787">
        <v>1.885</v>
      </c>
      <c r="AA3" s="787">
        <v>1.9356219081272086</v>
      </c>
      <c r="AB3" s="787">
        <v>1.9622650176678447</v>
      </c>
      <c r="AC3" s="787">
        <v>2.1161289752650174</v>
      </c>
    </row>
    <row r="4" spans="1:29" x14ac:dyDescent="0.3">
      <c r="A4" s="787">
        <v>1997</v>
      </c>
      <c r="B4" s="787">
        <v>0.94599999999999995</v>
      </c>
      <c r="C4" s="787">
        <v>0.97299999999999998</v>
      </c>
      <c r="D4" s="787">
        <v>1</v>
      </c>
      <c r="E4" s="787">
        <v>1.0329999999999999</v>
      </c>
      <c r="F4" s="787">
        <v>1.0580000000000001</v>
      </c>
      <c r="G4" s="787">
        <v>1.079</v>
      </c>
      <c r="H4" s="787">
        <v>1.1080000000000001</v>
      </c>
      <c r="I4" s="787">
        <v>1.1220000000000001</v>
      </c>
      <c r="J4" s="787">
        <v>1.155</v>
      </c>
      <c r="K4" s="787">
        <v>1.1859999999999999</v>
      </c>
      <c r="L4" s="787">
        <v>1.2230000000000001</v>
      </c>
      <c r="M4" s="787">
        <v>1.2529999999999999</v>
      </c>
      <c r="N4" s="787">
        <v>1.306</v>
      </c>
      <c r="O4" s="787">
        <v>1.359</v>
      </c>
      <c r="P4" s="787">
        <v>1.361</v>
      </c>
      <c r="Q4" s="787">
        <v>1.411</v>
      </c>
      <c r="R4" s="787">
        <v>1.4830000000000001</v>
      </c>
      <c r="S4" s="787">
        <v>1.5409999999999999</v>
      </c>
      <c r="T4" s="787">
        <v>1.5920000000000001</v>
      </c>
      <c r="U4" s="787">
        <v>1.6359999999999999</v>
      </c>
      <c r="V4" s="787">
        <v>1.6539999999999999</v>
      </c>
      <c r="W4" s="787">
        <v>1.6759999999999999</v>
      </c>
      <c r="X4" s="787">
        <v>1.72</v>
      </c>
      <c r="Y4" s="787">
        <v>1.788</v>
      </c>
      <c r="Z4" s="787">
        <v>1.833</v>
      </c>
      <c r="AA4" s="787">
        <v>1.8822254416961131</v>
      </c>
      <c r="AB4" s="787">
        <v>1.9081335689045937</v>
      </c>
      <c r="AC4" s="787">
        <v>2.0577530035335689</v>
      </c>
    </row>
    <row r="5" spans="1:29" x14ac:dyDescent="0.3">
      <c r="A5" s="787">
        <v>1998</v>
      </c>
      <c r="B5" s="787">
        <v>0.91500000000000004</v>
      </c>
      <c r="C5" s="787">
        <v>0.94199999999999995</v>
      </c>
      <c r="D5" s="787">
        <v>0.96799999999999997</v>
      </c>
      <c r="E5" s="787">
        <v>1</v>
      </c>
      <c r="F5" s="787">
        <v>1.024</v>
      </c>
      <c r="G5" s="787">
        <v>1.0449999999999999</v>
      </c>
      <c r="H5" s="787">
        <v>1.073</v>
      </c>
      <c r="I5" s="787">
        <v>1.087</v>
      </c>
      <c r="J5" s="787">
        <v>1.1180000000000001</v>
      </c>
      <c r="K5" s="787">
        <v>1.1479999999999999</v>
      </c>
      <c r="L5" s="787">
        <v>1.1839999999999999</v>
      </c>
      <c r="M5" s="787">
        <v>1.2130000000000001</v>
      </c>
      <c r="N5" s="787">
        <v>1.264</v>
      </c>
      <c r="O5" s="787">
        <v>1.3149999999999999</v>
      </c>
      <c r="P5" s="787">
        <v>1.3169999999999999</v>
      </c>
      <c r="Q5" s="787">
        <v>1.3660000000000001</v>
      </c>
      <c r="R5" s="787">
        <v>1.4359999999999999</v>
      </c>
      <c r="S5" s="787">
        <v>1.492</v>
      </c>
      <c r="T5" s="787">
        <v>1.5409999999999999</v>
      </c>
      <c r="U5" s="787">
        <v>1.5840000000000001</v>
      </c>
      <c r="V5" s="787">
        <v>1.601</v>
      </c>
      <c r="W5" s="787">
        <v>1.623</v>
      </c>
      <c r="X5" s="787">
        <v>1.665</v>
      </c>
      <c r="Y5" s="787">
        <v>1.73</v>
      </c>
      <c r="Z5" s="787">
        <v>1.774</v>
      </c>
      <c r="AA5" s="787">
        <v>1.8216409893992933</v>
      </c>
      <c r="AB5" s="787">
        <v>1.8467151943462898</v>
      </c>
      <c r="AC5" s="787">
        <v>1.9915187279151942</v>
      </c>
    </row>
    <row r="6" spans="1:29" x14ac:dyDescent="0.3">
      <c r="A6" s="787">
        <v>1999</v>
      </c>
      <c r="B6" s="787">
        <v>0.89400000000000002</v>
      </c>
      <c r="C6" s="787">
        <v>0.91900000000000004</v>
      </c>
      <c r="D6" s="787">
        <v>0.94499999999999995</v>
      </c>
      <c r="E6" s="787">
        <v>0.97599999999999998</v>
      </c>
      <c r="F6" s="787">
        <v>1</v>
      </c>
      <c r="G6" s="787">
        <v>1.02</v>
      </c>
      <c r="H6" s="787">
        <v>1.0469999999999999</v>
      </c>
      <c r="I6" s="787">
        <v>1.0609999999999999</v>
      </c>
      <c r="J6" s="787">
        <v>1.0920000000000001</v>
      </c>
      <c r="K6" s="787">
        <v>1.121</v>
      </c>
      <c r="L6" s="787">
        <v>1.1559999999999999</v>
      </c>
      <c r="M6" s="787">
        <v>1.1839999999999999</v>
      </c>
      <c r="N6" s="787">
        <v>1.234</v>
      </c>
      <c r="O6" s="787">
        <v>1.284</v>
      </c>
      <c r="P6" s="787">
        <v>1.286</v>
      </c>
      <c r="Q6" s="787">
        <v>1.3340000000000001</v>
      </c>
      <c r="R6" s="787">
        <v>1.401</v>
      </c>
      <c r="S6" s="787">
        <v>1.4570000000000001</v>
      </c>
      <c r="T6" s="787">
        <v>1.504</v>
      </c>
      <c r="U6" s="787">
        <v>1.546</v>
      </c>
      <c r="V6" s="787">
        <v>1.5629999999999999</v>
      </c>
      <c r="W6" s="787">
        <v>1.5840000000000001</v>
      </c>
      <c r="X6" s="787">
        <v>1.625</v>
      </c>
      <c r="Y6" s="787">
        <v>1.6890000000000001</v>
      </c>
      <c r="Z6" s="787">
        <v>1.732</v>
      </c>
      <c r="AA6" s="787">
        <v>1.7783991312849989</v>
      </c>
      <c r="AB6" s="787">
        <v>1.802878128274469</v>
      </c>
      <c r="AC6" s="787">
        <v>1.9442443358886583</v>
      </c>
    </row>
    <row r="7" spans="1:29" x14ac:dyDescent="0.3">
      <c r="A7" s="787">
        <v>2000</v>
      </c>
      <c r="B7" s="787">
        <v>0.876</v>
      </c>
      <c r="C7" s="787">
        <v>0.90200000000000002</v>
      </c>
      <c r="D7" s="787">
        <v>0.92700000000000005</v>
      </c>
      <c r="E7" s="787">
        <v>0.95699999999999996</v>
      </c>
      <c r="F7" s="787">
        <v>0.98099999999999998</v>
      </c>
      <c r="G7" s="787">
        <v>1</v>
      </c>
      <c r="H7" s="787">
        <v>1.0269999999999999</v>
      </c>
      <c r="I7" s="787">
        <v>1.04</v>
      </c>
      <c r="J7" s="787">
        <v>1.071</v>
      </c>
      <c r="K7" s="787">
        <v>1.099</v>
      </c>
      <c r="L7" s="787">
        <v>1.1339999999999999</v>
      </c>
      <c r="M7" s="787">
        <v>1.161</v>
      </c>
      <c r="N7" s="787">
        <v>1.21</v>
      </c>
      <c r="O7" s="787">
        <v>1.2589999999999999</v>
      </c>
      <c r="P7" s="787">
        <v>1.2609999999999999</v>
      </c>
      <c r="Q7" s="787">
        <v>1.3080000000000001</v>
      </c>
      <c r="R7" s="787">
        <v>1.375</v>
      </c>
      <c r="S7" s="787">
        <v>1.429</v>
      </c>
      <c r="T7" s="787">
        <v>1.4750000000000001</v>
      </c>
      <c r="U7" s="787">
        <v>1.516</v>
      </c>
      <c r="V7" s="787">
        <v>1.5329999999999999</v>
      </c>
      <c r="W7" s="787">
        <v>1.5529999999999999</v>
      </c>
      <c r="X7" s="787">
        <v>1.5940000000000001</v>
      </c>
      <c r="Y7" s="787">
        <v>1.657</v>
      </c>
      <c r="Z7" s="787">
        <v>1.6990000000000001</v>
      </c>
      <c r="AA7" s="787">
        <v>1.7442125650107869</v>
      </c>
      <c r="AB7" s="787">
        <v>1.7682209967383959</v>
      </c>
      <c r="AC7" s="787">
        <v>1.9068696899653372</v>
      </c>
    </row>
    <row r="8" spans="1:29" x14ac:dyDescent="0.3">
      <c r="A8" s="787">
        <v>2001</v>
      </c>
      <c r="B8" s="787">
        <v>0.85299999999999998</v>
      </c>
      <c r="C8" s="787">
        <v>0.878</v>
      </c>
      <c r="D8" s="787">
        <v>0.90200000000000002</v>
      </c>
      <c r="E8" s="787">
        <v>0.93200000000000005</v>
      </c>
      <c r="F8" s="787">
        <v>0.95499999999999996</v>
      </c>
      <c r="G8" s="787">
        <v>0.97399999999999998</v>
      </c>
      <c r="H8" s="787">
        <v>1</v>
      </c>
      <c r="I8" s="787">
        <v>1.0129999999999999</v>
      </c>
      <c r="J8" s="787">
        <v>1.0429999999999999</v>
      </c>
      <c r="K8" s="787">
        <v>1.07</v>
      </c>
      <c r="L8" s="787">
        <v>1.1040000000000001</v>
      </c>
      <c r="M8" s="787">
        <v>1.1299999999999999</v>
      </c>
      <c r="N8" s="787">
        <v>1.1779999999999999</v>
      </c>
      <c r="O8" s="787">
        <v>1.226</v>
      </c>
      <c r="P8" s="787">
        <v>1.228</v>
      </c>
      <c r="Q8" s="787">
        <v>1.274</v>
      </c>
      <c r="R8" s="787">
        <v>1.3380000000000001</v>
      </c>
      <c r="S8" s="787">
        <v>1.391</v>
      </c>
      <c r="T8" s="787">
        <v>1.4370000000000001</v>
      </c>
      <c r="U8" s="787">
        <v>1.476</v>
      </c>
      <c r="V8" s="787">
        <v>1.4930000000000001</v>
      </c>
      <c r="W8" s="787">
        <v>1.5129999999999999</v>
      </c>
      <c r="X8" s="787">
        <v>1.552</v>
      </c>
      <c r="Y8" s="787">
        <v>1.613</v>
      </c>
      <c r="Z8" s="787">
        <v>1.6539999999999999</v>
      </c>
      <c r="AA8" s="787">
        <v>1.698356927955976</v>
      </c>
      <c r="AB8" s="787">
        <v>1.7217341740393344</v>
      </c>
      <c r="AC8" s="787">
        <v>1.8567377701707279</v>
      </c>
    </row>
    <row r="9" spans="1:29" x14ac:dyDescent="0.3">
      <c r="A9" s="787">
        <v>2002</v>
      </c>
      <c r="B9" s="787">
        <v>0.84199999999999997</v>
      </c>
      <c r="C9" s="787">
        <v>0.86699999999999999</v>
      </c>
      <c r="D9" s="787">
        <v>0.89100000000000001</v>
      </c>
      <c r="E9" s="787">
        <v>0.92</v>
      </c>
      <c r="F9" s="787">
        <v>0.94299999999999995</v>
      </c>
      <c r="G9" s="787">
        <v>0.96099999999999997</v>
      </c>
      <c r="H9" s="787">
        <v>0.98699999999999999</v>
      </c>
      <c r="I9" s="787">
        <v>1</v>
      </c>
      <c r="J9" s="787">
        <v>1.0289999999999999</v>
      </c>
      <c r="K9" s="787">
        <v>1.0569999999999999</v>
      </c>
      <c r="L9" s="787">
        <v>1.0900000000000001</v>
      </c>
      <c r="M9" s="787">
        <v>1.1160000000000001</v>
      </c>
      <c r="N9" s="787">
        <v>1.163</v>
      </c>
      <c r="O9" s="787">
        <v>1.2110000000000001</v>
      </c>
      <c r="P9" s="787">
        <v>1.212</v>
      </c>
      <c r="Q9" s="787">
        <v>1.2569999999999999</v>
      </c>
      <c r="R9" s="787">
        <v>1.321</v>
      </c>
      <c r="S9" s="787">
        <v>1.373</v>
      </c>
      <c r="T9" s="787">
        <v>1.4179999999999999</v>
      </c>
      <c r="U9" s="787">
        <v>1.458</v>
      </c>
      <c r="V9" s="787">
        <v>1.474</v>
      </c>
      <c r="W9" s="787">
        <v>1.4930000000000001</v>
      </c>
      <c r="X9" s="787">
        <v>1.532</v>
      </c>
      <c r="Y9" s="787">
        <v>1.593</v>
      </c>
      <c r="Z9" s="787">
        <v>1.633</v>
      </c>
      <c r="AA9" s="787">
        <v>1.676727147750001</v>
      </c>
      <c r="AB9" s="787">
        <v>1.6998066680218524</v>
      </c>
      <c r="AC9" s="787">
        <v>1.8330908975917937</v>
      </c>
    </row>
    <row r="10" spans="1:29" x14ac:dyDescent="0.3">
      <c r="A10" s="787">
        <v>2003</v>
      </c>
      <c r="B10" s="787">
        <v>0.81799999999999995</v>
      </c>
      <c r="C10" s="787">
        <v>0.84199999999999997</v>
      </c>
      <c r="D10" s="787">
        <v>0.86499999999999999</v>
      </c>
      <c r="E10" s="787">
        <v>0.89400000000000002</v>
      </c>
      <c r="F10" s="787">
        <v>0.91600000000000004</v>
      </c>
      <c r="G10" s="787">
        <v>0.93400000000000005</v>
      </c>
      <c r="H10" s="787">
        <v>0.95899999999999996</v>
      </c>
      <c r="I10" s="787">
        <v>0.97099999999999997</v>
      </c>
      <c r="J10" s="787">
        <v>1</v>
      </c>
      <c r="K10" s="787">
        <v>1.026</v>
      </c>
      <c r="L10" s="787">
        <v>1.0589999999999999</v>
      </c>
      <c r="M10" s="787">
        <v>1.0840000000000001</v>
      </c>
      <c r="N10" s="787">
        <v>1.1299999999999999</v>
      </c>
      <c r="O10" s="787">
        <v>1.1759999999999999</v>
      </c>
      <c r="P10" s="787">
        <v>1.1779999999999999</v>
      </c>
      <c r="Q10" s="787">
        <v>1.2210000000000001</v>
      </c>
      <c r="R10" s="787">
        <v>1.284</v>
      </c>
      <c r="S10" s="787">
        <v>1.3340000000000001</v>
      </c>
      <c r="T10" s="787">
        <v>1.3779999999999999</v>
      </c>
      <c r="U10" s="787">
        <v>1.4159999999999999</v>
      </c>
      <c r="V10" s="787">
        <v>1.4319999999999999</v>
      </c>
      <c r="W10" s="787">
        <v>1.4510000000000001</v>
      </c>
      <c r="X10" s="787">
        <v>1.488</v>
      </c>
      <c r="Y10" s="787">
        <v>1.5469999999999999</v>
      </c>
      <c r="Z10" s="787">
        <v>1.5860000000000001</v>
      </c>
      <c r="AA10" s="787">
        <v>1.628839273120265</v>
      </c>
      <c r="AB10" s="787">
        <v>1.6512596347599109</v>
      </c>
      <c r="AC10" s="787">
        <v>1.780737223228865</v>
      </c>
    </row>
    <row r="11" spans="1:29" x14ac:dyDescent="0.3">
      <c r="A11" s="787">
        <v>2004</v>
      </c>
      <c r="B11" s="787">
        <v>0.79700000000000004</v>
      </c>
      <c r="C11" s="787">
        <v>0.82</v>
      </c>
      <c r="D11" s="787">
        <v>0.84299999999999997</v>
      </c>
      <c r="E11" s="787">
        <v>0.871</v>
      </c>
      <c r="F11" s="787">
        <v>0.89200000000000002</v>
      </c>
      <c r="G11" s="787">
        <v>0.91</v>
      </c>
      <c r="H11" s="787">
        <v>0.93400000000000005</v>
      </c>
      <c r="I11" s="787">
        <v>0.94599999999999995</v>
      </c>
      <c r="J11" s="787">
        <v>0.97399999999999998</v>
      </c>
      <c r="K11" s="787">
        <v>1</v>
      </c>
      <c r="L11" s="787">
        <v>1.032</v>
      </c>
      <c r="M11" s="787">
        <v>1.056</v>
      </c>
      <c r="N11" s="787">
        <v>1.101</v>
      </c>
      <c r="O11" s="787">
        <v>1.1459999999999999</v>
      </c>
      <c r="P11" s="787">
        <v>1.147</v>
      </c>
      <c r="Q11" s="787">
        <v>1.19</v>
      </c>
      <c r="R11" s="787">
        <v>1.2509999999999999</v>
      </c>
      <c r="S11" s="787">
        <v>1.3</v>
      </c>
      <c r="T11" s="787">
        <v>1.3420000000000001</v>
      </c>
      <c r="U11" s="787">
        <v>1.38</v>
      </c>
      <c r="V11" s="787">
        <v>1.395</v>
      </c>
      <c r="W11" s="787">
        <v>1.413</v>
      </c>
      <c r="X11" s="787">
        <v>1.45</v>
      </c>
      <c r="Y11" s="787">
        <v>1.5069999999999999</v>
      </c>
      <c r="Z11" s="787">
        <v>1.546</v>
      </c>
      <c r="AA11" s="787">
        <v>1.587098580454317</v>
      </c>
      <c r="AB11" s="787">
        <v>1.6089443971157666</v>
      </c>
      <c r="AC11" s="787">
        <v>1.7351039883356381</v>
      </c>
    </row>
    <row r="12" spans="1:29" x14ac:dyDescent="0.3">
      <c r="A12" s="787">
        <v>2005</v>
      </c>
      <c r="B12" s="787">
        <v>0.77300000000000002</v>
      </c>
      <c r="C12" s="787">
        <v>0.79500000000000004</v>
      </c>
      <c r="D12" s="787">
        <v>0.81699999999999995</v>
      </c>
      <c r="E12" s="787">
        <v>0.84399999999999997</v>
      </c>
      <c r="F12" s="787">
        <v>0.86499999999999999</v>
      </c>
      <c r="G12" s="787">
        <v>0.88200000000000001</v>
      </c>
      <c r="H12" s="787">
        <v>0.90600000000000003</v>
      </c>
      <c r="I12" s="787">
        <v>0.91700000000000004</v>
      </c>
      <c r="J12" s="787">
        <v>0.94399999999999995</v>
      </c>
      <c r="K12" s="787">
        <v>0.96899999999999997</v>
      </c>
      <c r="L12" s="787">
        <v>1</v>
      </c>
      <c r="M12" s="787">
        <v>1.024</v>
      </c>
      <c r="N12" s="787">
        <v>1.0669999999999999</v>
      </c>
      <c r="O12" s="787">
        <v>1.111</v>
      </c>
      <c r="P12" s="787">
        <v>1.1120000000000001</v>
      </c>
      <c r="Q12" s="787">
        <v>1.1539999999999999</v>
      </c>
      <c r="R12" s="787">
        <v>1.212</v>
      </c>
      <c r="S12" s="787">
        <v>1.26</v>
      </c>
      <c r="T12" s="787">
        <v>1.3009999999999999</v>
      </c>
      <c r="U12" s="787">
        <v>1.337</v>
      </c>
      <c r="V12" s="787">
        <v>1.3520000000000001</v>
      </c>
      <c r="W12" s="787">
        <v>1.37</v>
      </c>
      <c r="X12" s="787">
        <v>1.4059999999999999</v>
      </c>
      <c r="Y12" s="787">
        <v>1.4610000000000001</v>
      </c>
      <c r="Z12" s="787">
        <v>1.498</v>
      </c>
      <c r="AA12" s="787">
        <v>1.5383334113156117</v>
      </c>
      <c r="AB12" s="787">
        <v>1.5595079937150007</v>
      </c>
      <c r="AC12" s="787">
        <v>1.681791207071472</v>
      </c>
    </row>
    <row r="13" spans="1:29" x14ac:dyDescent="0.3">
      <c r="A13" s="787">
        <v>2006</v>
      </c>
      <c r="B13" s="787">
        <v>0.755</v>
      </c>
      <c r="C13" s="787">
        <v>0.77700000000000002</v>
      </c>
      <c r="D13" s="787">
        <v>0.79800000000000004</v>
      </c>
      <c r="E13" s="787">
        <v>0.82499999999999996</v>
      </c>
      <c r="F13" s="787">
        <v>0.84499999999999997</v>
      </c>
      <c r="G13" s="787">
        <v>0.86099999999999999</v>
      </c>
      <c r="H13" s="787">
        <v>0.88500000000000001</v>
      </c>
      <c r="I13" s="787">
        <v>0.89600000000000002</v>
      </c>
      <c r="J13" s="787">
        <v>0.92200000000000004</v>
      </c>
      <c r="K13" s="787">
        <v>0.94699999999999995</v>
      </c>
      <c r="L13" s="787">
        <v>0.97699999999999998</v>
      </c>
      <c r="M13" s="787">
        <v>1</v>
      </c>
      <c r="N13" s="787">
        <v>1.042</v>
      </c>
      <c r="O13" s="787">
        <v>1.085</v>
      </c>
      <c r="P13" s="787">
        <v>1.0860000000000001</v>
      </c>
      <c r="Q13" s="787">
        <v>1.127</v>
      </c>
      <c r="R13" s="787">
        <v>1.1839999999999999</v>
      </c>
      <c r="S13" s="787">
        <v>1.2310000000000001</v>
      </c>
      <c r="T13" s="787">
        <v>1.2709999999999999</v>
      </c>
      <c r="U13" s="787">
        <v>1.306</v>
      </c>
      <c r="V13" s="787">
        <v>1.321</v>
      </c>
      <c r="W13" s="787">
        <v>1.3380000000000001</v>
      </c>
      <c r="X13" s="787">
        <v>1.373</v>
      </c>
      <c r="Y13" s="787">
        <v>1.427</v>
      </c>
      <c r="Z13" s="787">
        <v>1.4630000000000001</v>
      </c>
      <c r="AA13" s="787">
        <v>1.502572193119371</v>
      </c>
      <c r="AB13" s="787">
        <v>1.5232545357638221</v>
      </c>
      <c r="AC13" s="787">
        <v>1.6426950645355269</v>
      </c>
    </row>
    <row r="14" spans="1:29" x14ac:dyDescent="0.3">
      <c r="A14" s="787">
        <v>2007</v>
      </c>
      <c r="B14" s="787">
        <v>0.72399999999999998</v>
      </c>
      <c r="C14" s="787">
        <v>0.745</v>
      </c>
      <c r="D14" s="787">
        <v>0.76600000000000001</v>
      </c>
      <c r="E14" s="787">
        <v>0.79100000000000004</v>
      </c>
      <c r="F14" s="787">
        <v>0.81100000000000005</v>
      </c>
      <c r="G14" s="787">
        <v>0.82599999999999996</v>
      </c>
      <c r="H14" s="787">
        <v>0.84899999999999998</v>
      </c>
      <c r="I14" s="787">
        <v>0.86</v>
      </c>
      <c r="J14" s="787">
        <v>0.88500000000000001</v>
      </c>
      <c r="K14" s="787">
        <v>0.90800000000000003</v>
      </c>
      <c r="L14" s="787">
        <v>0.93700000000000006</v>
      </c>
      <c r="M14" s="787">
        <v>0.95899999999999996</v>
      </c>
      <c r="N14" s="787">
        <v>1</v>
      </c>
      <c r="O14" s="787">
        <v>1.0409999999999999</v>
      </c>
      <c r="P14" s="787">
        <v>1.042</v>
      </c>
      <c r="Q14" s="787">
        <v>1.081</v>
      </c>
      <c r="R14" s="787">
        <v>1.1359999999999999</v>
      </c>
      <c r="S14" s="787">
        <v>1.181</v>
      </c>
      <c r="T14" s="787">
        <v>1.2190000000000001</v>
      </c>
      <c r="U14" s="787">
        <v>1.2529999999999999</v>
      </c>
      <c r="V14" s="787">
        <v>1.2669999999999999</v>
      </c>
      <c r="W14" s="787">
        <v>1.284</v>
      </c>
      <c r="X14" s="787">
        <v>1.3169999999999999</v>
      </c>
      <c r="Y14" s="787">
        <v>1.369</v>
      </c>
      <c r="Z14" s="787">
        <v>1.4039999999999999</v>
      </c>
      <c r="AA14" s="787">
        <v>1.4414545214115224</v>
      </c>
      <c r="AB14" s="787">
        <v>1.4612956022292998</v>
      </c>
      <c r="AC14" s="787">
        <v>1.5758778439519636</v>
      </c>
    </row>
    <row r="15" spans="1:29" x14ac:dyDescent="0.3">
      <c r="A15" s="787">
        <v>2008</v>
      </c>
      <c r="B15" s="787">
        <v>0.69599999999999995</v>
      </c>
      <c r="C15" s="787">
        <v>0.71599999999999997</v>
      </c>
      <c r="D15" s="787">
        <v>0.73599999999999999</v>
      </c>
      <c r="E15" s="787">
        <v>0.76</v>
      </c>
      <c r="F15" s="787">
        <v>0.77900000000000003</v>
      </c>
      <c r="G15" s="787">
        <v>0.79400000000000004</v>
      </c>
      <c r="H15" s="787">
        <v>0.81599999999999995</v>
      </c>
      <c r="I15" s="787">
        <v>0.82599999999999996</v>
      </c>
      <c r="J15" s="787">
        <v>0.85</v>
      </c>
      <c r="K15" s="787">
        <v>0.873</v>
      </c>
      <c r="L15" s="787">
        <v>0.9</v>
      </c>
      <c r="M15" s="787">
        <v>0.92200000000000004</v>
      </c>
      <c r="N15" s="787">
        <v>0.96099999999999997</v>
      </c>
      <c r="O15" s="787">
        <v>1</v>
      </c>
      <c r="P15" s="787">
        <v>1.0009999999999999</v>
      </c>
      <c r="Q15" s="787">
        <v>1.0389999999999999</v>
      </c>
      <c r="R15" s="787">
        <v>1.0920000000000001</v>
      </c>
      <c r="S15" s="787">
        <v>1.1339999999999999</v>
      </c>
      <c r="T15" s="787">
        <v>1.1719999999999999</v>
      </c>
      <c r="U15" s="787">
        <v>1.204</v>
      </c>
      <c r="V15" s="787">
        <v>1.2170000000000001</v>
      </c>
      <c r="W15" s="787">
        <v>1.234</v>
      </c>
      <c r="X15" s="787">
        <v>1.2649999999999999</v>
      </c>
      <c r="Y15" s="787">
        <v>1.3160000000000001</v>
      </c>
      <c r="Z15" s="787">
        <v>1.349</v>
      </c>
      <c r="AA15" s="787">
        <v>1.3850816963692922</v>
      </c>
      <c r="AB15" s="787">
        <v>1.4041468263950223</v>
      </c>
      <c r="AC15" s="787">
        <v>1.5142479522936134</v>
      </c>
    </row>
    <row r="16" spans="1:29" x14ac:dyDescent="0.3">
      <c r="A16" s="787">
        <v>2009</v>
      </c>
      <c r="B16" s="787">
        <v>0.69499999999999995</v>
      </c>
      <c r="C16" s="787">
        <v>0.71499999999999997</v>
      </c>
      <c r="D16" s="787">
        <v>0.73499999999999999</v>
      </c>
      <c r="E16" s="787">
        <v>0.75900000000000001</v>
      </c>
      <c r="F16" s="787">
        <v>0.77800000000000002</v>
      </c>
      <c r="G16" s="787">
        <v>0.79300000000000004</v>
      </c>
      <c r="H16" s="787">
        <v>0.81399999999999995</v>
      </c>
      <c r="I16" s="787">
        <v>0.82499999999999996</v>
      </c>
      <c r="J16" s="787">
        <v>0.84899999999999998</v>
      </c>
      <c r="K16" s="787">
        <v>0.871</v>
      </c>
      <c r="L16" s="787">
        <v>0.89900000000000002</v>
      </c>
      <c r="M16" s="787">
        <v>0.92100000000000004</v>
      </c>
      <c r="N16" s="787">
        <v>0.96</v>
      </c>
      <c r="O16" s="787">
        <v>0.999</v>
      </c>
      <c r="P16" s="787">
        <v>1</v>
      </c>
      <c r="Q16" s="787">
        <v>1.0369999999999999</v>
      </c>
      <c r="R16" s="787">
        <v>1.0900000000000001</v>
      </c>
      <c r="S16" s="787">
        <v>1.133</v>
      </c>
      <c r="T16" s="787">
        <v>1.17</v>
      </c>
      <c r="U16" s="787">
        <v>1.202</v>
      </c>
      <c r="V16" s="787">
        <v>1.216</v>
      </c>
      <c r="W16" s="787">
        <v>1.232</v>
      </c>
      <c r="X16" s="787">
        <v>1.264</v>
      </c>
      <c r="Y16" s="787">
        <v>1.3140000000000001</v>
      </c>
      <c r="Z16" s="787">
        <v>1.347</v>
      </c>
      <c r="AA16" s="787">
        <v>1.383145292959149</v>
      </c>
      <c r="AB16" s="787">
        <v>1.4021837691182564</v>
      </c>
      <c r="AC16" s="787">
        <v>1.5121309689371012</v>
      </c>
    </row>
    <row r="17" spans="1:30" x14ac:dyDescent="0.3">
      <c r="A17" s="787">
        <v>2010</v>
      </c>
      <c r="B17" s="787">
        <v>0.67</v>
      </c>
      <c r="C17" s="787">
        <v>0.68899999999999995</v>
      </c>
      <c r="D17" s="787">
        <v>0.70899999999999996</v>
      </c>
      <c r="E17" s="787">
        <v>0.73199999999999998</v>
      </c>
      <c r="F17" s="787">
        <v>0.75</v>
      </c>
      <c r="G17" s="787">
        <v>0.76500000000000001</v>
      </c>
      <c r="H17" s="787">
        <v>0.78500000000000003</v>
      </c>
      <c r="I17" s="787">
        <v>0.79500000000000004</v>
      </c>
      <c r="J17" s="787">
        <v>0.81899999999999995</v>
      </c>
      <c r="K17" s="787">
        <v>0.84</v>
      </c>
      <c r="L17" s="787">
        <v>0.86699999999999999</v>
      </c>
      <c r="M17" s="787">
        <v>0.88800000000000001</v>
      </c>
      <c r="N17" s="787">
        <v>0.92500000000000004</v>
      </c>
      <c r="O17" s="787">
        <v>0.96299999999999997</v>
      </c>
      <c r="P17" s="787">
        <v>0.96399999999999997</v>
      </c>
      <c r="Q17" s="787">
        <v>1</v>
      </c>
      <c r="R17" s="787">
        <v>1.0509999999999999</v>
      </c>
      <c r="S17" s="787">
        <v>1.0920000000000001</v>
      </c>
      <c r="T17" s="787">
        <v>1.1279999999999999</v>
      </c>
      <c r="U17" s="787">
        <v>1.159</v>
      </c>
      <c r="V17" s="787">
        <v>1.1719999999999999</v>
      </c>
      <c r="W17" s="787">
        <v>1.1879999999999999</v>
      </c>
      <c r="X17" s="787">
        <v>1.218</v>
      </c>
      <c r="Y17" s="787">
        <v>1.2669999999999999</v>
      </c>
      <c r="Z17" s="787">
        <v>1.2989999999999999</v>
      </c>
      <c r="AA17" s="787">
        <v>1.3336662741868186</v>
      </c>
      <c r="AB17" s="787">
        <v>1.3520236902114136</v>
      </c>
      <c r="AC17" s="787">
        <v>1.4580377677534488</v>
      </c>
    </row>
    <row r="18" spans="1:30" x14ac:dyDescent="0.3">
      <c r="A18" s="787">
        <v>2011</v>
      </c>
      <c r="B18" s="787">
        <v>0.63800000000000001</v>
      </c>
      <c r="C18" s="787">
        <v>0.65600000000000003</v>
      </c>
      <c r="D18" s="787">
        <v>0.67400000000000004</v>
      </c>
      <c r="E18" s="787">
        <v>0.69699999999999995</v>
      </c>
      <c r="F18" s="787">
        <v>0.71399999999999997</v>
      </c>
      <c r="G18" s="787">
        <v>0.72799999999999998</v>
      </c>
      <c r="H18" s="787">
        <v>0.747</v>
      </c>
      <c r="I18" s="787">
        <v>0.75700000000000001</v>
      </c>
      <c r="J18" s="787">
        <v>0.77900000000000003</v>
      </c>
      <c r="K18" s="787">
        <v>0.8</v>
      </c>
      <c r="L18" s="787">
        <v>0.82499999999999996</v>
      </c>
      <c r="M18" s="787">
        <v>0.84499999999999997</v>
      </c>
      <c r="N18" s="787">
        <v>0.88</v>
      </c>
      <c r="O18" s="787">
        <v>0.91600000000000004</v>
      </c>
      <c r="P18" s="787">
        <v>0.91700000000000004</v>
      </c>
      <c r="Q18" s="787">
        <v>0.95199999999999996</v>
      </c>
      <c r="R18" s="787">
        <v>1</v>
      </c>
      <c r="S18" s="787">
        <v>1.0389999999999999</v>
      </c>
      <c r="T18" s="787">
        <v>1.073</v>
      </c>
      <c r="U18" s="787">
        <v>1.103</v>
      </c>
      <c r="V18" s="787">
        <v>1.115</v>
      </c>
      <c r="W18" s="787">
        <v>1.1299999999999999</v>
      </c>
      <c r="X18" s="787">
        <v>1.159</v>
      </c>
      <c r="Y18" s="787">
        <v>1.2050000000000001</v>
      </c>
      <c r="Z18" s="787">
        <v>1.236</v>
      </c>
      <c r="AA18" s="787">
        <v>1.2690705815841836</v>
      </c>
      <c r="AB18" s="787">
        <v>1.286538862129045</v>
      </c>
      <c r="AC18" s="787">
        <v>1.3874181822756195</v>
      </c>
    </row>
    <row r="19" spans="1:30" x14ac:dyDescent="0.3">
      <c r="A19" s="787">
        <v>2012</v>
      </c>
      <c r="B19" s="787">
        <v>0.61299999999999999</v>
      </c>
      <c r="C19" s="787">
        <v>0.63100000000000001</v>
      </c>
      <c r="D19" s="787">
        <v>0.64900000000000002</v>
      </c>
      <c r="E19" s="787">
        <v>0.67</v>
      </c>
      <c r="F19" s="787">
        <v>0.68700000000000006</v>
      </c>
      <c r="G19" s="787">
        <v>0.7</v>
      </c>
      <c r="H19" s="787">
        <v>0.71899999999999997</v>
      </c>
      <c r="I19" s="787">
        <v>0.72799999999999998</v>
      </c>
      <c r="J19" s="787">
        <v>0.75</v>
      </c>
      <c r="K19" s="787">
        <v>0.76900000000000002</v>
      </c>
      <c r="L19" s="787">
        <v>0.79400000000000004</v>
      </c>
      <c r="M19" s="787">
        <v>0.81299999999999994</v>
      </c>
      <c r="N19" s="787">
        <v>0.84699999999999998</v>
      </c>
      <c r="O19" s="787">
        <v>0.88200000000000001</v>
      </c>
      <c r="P19" s="787">
        <v>0.88300000000000001</v>
      </c>
      <c r="Q19" s="787">
        <v>0.91600000000000004</v>
      </c>
      <c r="R19" s="787">
        <v>0.96199999999999997</v>
      </c>
      <c r="S19" s="787">
        <v>1</v>
      </c>
      <c r="T19" s="787">
        <v>1.0329999999999999</v>
      </c>
      <c r="U19" s="787">
        <v>1.0609999999999999</v>
      </c>
      <c r="V19" s="787">
        <v>1.073</v>
      </c>
      <c r="W19" s="787">
        <v>1.087</v>
      </c>
      <c r="X19" s="787">
        <v>1.1160000000000001</v>
      </c>
      <c r="Y19" s="787">
        <v>1.1599999999999999</v>
      </c>
      <c r="Z19" s="787">
        <v>1.1890000000000001</v>
      </c>
      <c r="AA19" s="787">
        <v>1.2210820567537608</v>
      </c>
      <c r="AB19" s="787">
        <v>1.2378897932541568</v>
      </c>
      <c r="AC19" s="787">
        <v>1.334954471543943</v>
      </c>
    </row>
    <row r="20" spans="1:30" x14ac:dyDescent="0.3">
      <c r="A20" s="787">
        <v>2013</v>
      </c>
      <c r="B20" s="787">
        <v>0.59399999999999997</v>
      </c>
      <c r="C20" s="787">
        <v>0.61099999999999999</v>
      </c>
      <c r="D20" s="787">
        <v>0.628</v>
      </c>
      <c r="E20" s="787">
        <v>0.64900000000000002</v>
      </c>
      <c r="F20" s="787">
        <v>0.66500000000000004</v>
      </c>
      <c r="G20" s="787">
        <v>0.67800000000000005</v>
      </c>
      <c r="H20" s="787">
        <v>0.69599999999999995</v>
      </c>
      <c r="I20" s="787">
        <v>0.70499999999999996</v>
      </c>
      <c r="J20" s="787">
        <v>0.72599999999999998</v>
      </c>
      <c r="K20" s="787">
        <v>0.745</v>
      </c>
      <c r="L20" s="787">
        <v>0.76900000000000002</v>
      </c>
      <c r="M20" s="787">
        <v>0.78700000000000003</v>
      </c>
      <c r="N20" s="787">
        <v>0.82</v>
      </c>
      <c r="O20" s="787">
        <v>0.85399999999999998</v>
      </c>
      <c r="P20" s="787">
        <v>0.85499999999999998</v>
      </c>
      <c r="Q20" s="787">
        <v>0.88600000000000001</v>
      </c>
      <c r="R20" s="787">
        <v>0.93200000000000005</v>
      </c>
      <c r="S20" s="787">
        <v>0.96799999999999997</v>
      </c>
      <c r="T20" s="787">
        <v>1</v>
      </c>
      <c r="U20" s="787">
        <v>1.028</v>
      </c>
      <c r="V20" s="787">
        <v>1.0389999999999999</v>
      </c>
      <c r="W20" s="787">
        <v>1.0529999999999999</v>
      </c>
      <c r="X20" s="787">
        <v>1.08</v>
      </c>
      <c r="Y20" s="787">
        <v>1.123</v>
      </c>
      <c r="Z20" s="787">
        <v>1.151</v>
      </c>
      <c r="AA20" s="787">
        <v>1.1823025336500397</v>
      </c>
      <c r="AB20" s="787">
        <v>1.1985764845605702</v>
      </c>
      <c r="AC20" s="787">
        <v>1.2925585510688835</v>
      </c>
    </row>
    <row r="21" spans="1:30" x14ac:dyDescent="0.3">
      <c r="A21" s="787">
        <v>2014</v>
      </c>
      <c r="B21" s="787">
        <v>0.57799999999999996</v>
      </c>
      <c r="C21" s="787">
        <v>0.59499999999999997</v>
      </c>
      <c r="D21" s="787">
        <v>0.61099999999999999</v>
      </c>
      <c r="E21" s="787">
        <v>0.63100000000000001</v>
      </c>
      <c r="F21" s="787">
        <v>0.64700000000000002</v>
      </c>
      <c r="G21" s="787">
        <v>0.66</v>
      </c>
      <c r="H21" s="787">
        <v>0.67700000000000005</v>
      </c>
      <c r="I21" s="787">
        <v>0.68600000000000005</v>
      </c>
      <c r="J21" s="787">
        <v>0.70599999999999996</v>
      </c>
      <c r="K21" s="787">
        <v>0.72499999999999998</v>
      </c>
      <c r="L21" s="787">
        <v>0.748</v>
      </c>
      <c r="M21" s="787">
        <v>0.76600000000000001</v>
      </c>
      <c r="N21" s="787">
        <v>0.79800000000000004</v>
      </c>
      <c r="O21" s="787">
        <v>0.83099999999999996</v>
      </c>
      <c r="P21" s="787">
        <v>0.83199999999999996</v>
      </c>
      <c r="Q21" s="787">
        <v>0.86299999999999999</v>
      </c>
      <c r="R21" s="787">
        <v>0.90700000000000003</v>
      </c>
      <c r="S21" s="787">
        <v>0.94199999999999995</v>
      </c>
      <c r="T21" s="787">
        <v>0.97299999999999998</v>
      </c>
      <c r="U21" s="787">
        <v>1</v>
      </c>
      <c r="V21" s="787">
        <v>1.0109999999999999</v>
      </c>
      <c r="W21" s="787">
        <v>1.0249999999999999</v>
      </c>
      <c r="X21" s="787">
        <v>1.0509999999999999</v>
      </c>
      <c r="Y21" s="787">
        <v>1.093</v>
      </c>
      <c r="Z21" s="787">
        <v>1.1200000000000001</v>
      </c>
      <c r="AA21" s="787">
        <v>1.1504354711005544</v>
      </c>
      <c r="AB21" s="787">
        <v>1.1662707838479813</v>
      </c>
      <c r="AC21" s="787">
        <v>1.2577197149643706</v>
      </c>
    </row>
    <row r="22" spans="1:30" x14ac:dyDescent="0.3">
      <c r="A22" s="787">
        <v>2015</v>
      </c>
      <c r="B22" s="787">
        <v>0.57199999999999995</v>
      </c>
      <c r="C22" s="787">
        <v>0.58799999999999997</v>
      </c>
      <c r="D22" s="787">
        <v>0.60499999999999998</v>
      </c>
      <c r="E22" s="787">
        <v>0.625</v>
      </c>
      <c r="F22" s="787">
        <v>0.64</v>
      </c>
      <c r="G22" s="787">
        <v>0.65200000000000002</v>
      </c>
      <c r="H22" s="787">
        <v>0.67</v>
      </c>
      <c r="I22" s="787">
        <v>0.67900000000000005</v>
      </c>
      <c r="J22" s="787">
        <v>0.69899999999999995</v>
      </c>
      <c r="K22" s="787">
        <v>0.71699999999999997</v>
      </c>
      <c r="L22" s="787">
        <v>0.74</v>
      </c>
      <c r="M22" s="787">
        <v>0.75700000000000001</v>
      </c>
      <c r="N22" s="787">
        <v>0.78900000000000003</v>
      </c>
      <c r="O22" s="787">
        <v>0.82099999999999995</v>
      </c>
      <c r="P22" s="787">
        <v>0.82299999999999995</v>
      </c>
      <c r="Q22" s="787">
        <v>0.85299999999999998</v>
      </c>
      <c r="R22" s="787">
        <v>0.89700000000000002</v>
      </c>
      <c r="S22" s="787">
        <v>0.93200000000000005</v>
      </c>
      <c r="T22" s="787">
        <v>0.96199999999999997</v>
      </c>
      <c r="U22" s="787">
        <v>0.98899999999999999</v>
      </c>
      <c r="V22" s="787">
        <v>1</v>
      </c>
      <c r="W22" s="787">
        <v>1.0129999999999999</v>
      </c>
      <c r="X22" s="787">
        <v>1.04</v>
      </c>
      <c r="Y22" s="787">
        <v>1.081</v>
      </c>
      <c r="Z22" s="787">
        <v>1.1080000000000001</v>
      </c>
      <c r="AA22" s="787">
        <v>1.1378230227094752</v>
      </c>
      <c r="AB22" s="787">
        <v>1.1534847298355519</v>
      </c>
      <c r="AC22" s="787">
        <v>1.243931088488645</v>
      </c>
    </row>
    <row r="23" spans="1:30" x14ac:dyDescent="0.3">
      <c r="A23" s="787">
        <v>2016</v>
      </c>
      <c r="B23" s="787">
        <v>0.56399999999999995</v>
      </c>
      <c r="C23" s="787">
        <v>0.57999999999999996</v>
      </c>
      <c r="D23" s="787">
        <v>0.59699999999999998</v>
      </c>
      <c r="E23" s="787">
        <v>0.61599999999999999</v>
      </c>
      <c r="F23" s="787">
        <v>0.63100000000000001</v>
      </c>
      <c r="G23" s="787">
        <v>0.64400000000000002</v>
      </c>
      <c r="H23" s="787">
        <v>0.66100000000000003</v>
      </c>
      <c r="I23" s="787">
        <v>0.67</v>
      </c>
      <c r="J23" s="787">
        <v>0.68899999999999995</v>
      </c>
      <c r="K23" s="787">
        <v>0.70699999999999996</v>
      </c>
      <c r="L23" s="787">
        <v>0.73</v>
      </c>
      <c r="M23" s="787">
        <v>0.747</v>
      </c>
      <c r="N23" s="787">
        <v>0.77900000000000003</v>
      </c>
      <c r="O23" s="787">
        <v>0.81100000000000005</v>
      </c>
      <c r="P23" s="787">
        <v>0.81200000000000006</v>
      </c>
      <c r="Q23" s="787">
        <v>0.84199999999999997</v>
      </c>
      <c r="R23" s="787">
        <v>0.88500000000000001</v>
      </c>
      <c r="S23" s="787">
        <v>0.92</v>
      </c>
      <c r="T23" s="787">
        <v>0.95</v>
      </c>
      <c r="U23" s="787">
        <v>0.97599999999999998</v>
      </c>
      <c r="V23" s="787">
        <v>0.98699999999999999</v>
      </c>
      <c r="W23" s="787">
        <v>1</v>
      </c>
      <c r="X23" s="787">
        <v>1.026</v>
      </c>
      <c r="Y23" s="787">
        <v>1.0660000000000001</v>
      </c>
      <c r="Z23" s="787">
        <v>1.0940000000000001</v>
      </c>
      <c r="AA23" s="787">
        <v>1.1228748068006182</v>
      </c>
      <c r="AB23" s="787">
        <v>1.1383307573415766</v>
      </c>
      <c r="AC23" s="787">
        <v>1.2275888717156105</v>
      </c>
    </row>
    <row r="24" spans="1:30" x14ac:dyDescent="0.3">
      <c r="A24" s="787">
        <v>2017</v>
      </c>
      <c r="B24" s="787">
        <v>0.55000000000000004</v>
      </c>
      <c r="C24" s="787">
        <v>0.56599999999999995</v>
      </c>
      <c r="D24" s="787">
        <v>0.58199999999999996</v>
      </c>
      <c r="E24" s="787">
        <v>0.60099999999999998</v>
      </c>
      <c r="F24" s="787">
        <v>0.61499999999999999</v>
      </c>
      <c r="G24" s="787">
        <v>0.627</v>
      </c>
      <c r="H24" s="787">
        <v>0.64400000000000002</v>
      </c>
      <c r="I24" s="787">
        <v>0.65300000000000002</v>
      </c>
      <c r="J24" s="787">
        <v>0.67200000000000004</v>
      </c>
      <c r="K24" s="787">
        <v>0.69</v>
      </c>
      <c r="L24" s="787">
        <v>0.71099999999999997</v>
      </c>
      <c r="M24" s="787">
        <v>0.72799999999999998</v>
      </c>
      <c r="N24" s="787">
        <v>0.75900000000000001</v>
      </c>
      <c r="O24" s="787">
        <v>0.79</v>
      </c>
      <c r="P24" s="787">
        <v>0.79100000000000004</v>
      </c>
      <c r="Q24" s="787">
        <v>0.82099999999999995</v>
      </c>
      <c r="R24" s="787">
        <v>0.86299999999999999</v>
      </c>
      <c r="S24" s="787">
        <v>0.89600000000000002</v>
      </c>
      <c r="T24" s="787">
        <v>0.92600000000000005</v>
      </c>
      <c r="U24" s="787">
        <v>0.95099999999999996</v>
      </c>
      <c r="V24" s="787">
        <v>0.96199999999999997</v>
      </c>
      <c r="W24" s="787">
        <v>0.97499999999999998</v>
      </c>
      <c r="X24" s="787">
        <v>1</v>
      </c>
      <c r="Y24" s="787">
        <v>1.04</v>
      </c>
      <c r="Z24" s="787">
        <v>1.0660000000000001</v>
      </c>
      <c r="AA24" s="787">
        <v>1.0945386064030131</v>
      </c>
      <c r="AB24" s="787">
        <v>1.1096045197740112</v>
      </c>
      <c r="AC24" s="787">
        <v>1.1966101694915252</v>
      </c>
    </row>
    <row r="25" spans="1:30" x14ac:dyDescent="0.3">
      <c r="A25" s="787">
        <v>2018</v>
      </c>
      <c r="B25" s="787">
        <v>0.52900000000000003</v>
      </c>
      <c r="C25" s="787">
        <v>0.54400000000000004</v>
      </c>
      <c r="D25" s="787">
        <v>0.55900000000000005</v>
      </c>
      <c r="E25" s="787">
        <v>0.57799999999999996</v>
      </c>
      <c r="F25" s="787">
        <v>0.59199999999999997</v>
      </c>
      <c r="G25" s="787">
        <v>0.60399999999999998</v>
      </c>
      <c r="H25" s="787">
        <v>0.62</v>
      </c>
      <c r="I25" s="787">
        <v>0.628</v>
      </c>
      <c r="J25" s="787">
        <v>0.64600000000000002</v>
      </c>
      <c r="K25" s="787">
        <v>0.66300000000000003</v>
      </c>
      <c r="L25" s="787">
        <v>0.68400000000000005</v>
      </c>
      <c r="M25" s="787">
        <v>0.70099999999999996</v>
      </c>
      <c r="N25" s="787">
        <v>0.73</v>
      </c>
      <c r="O25" s="787">
        <v>0.76</v>
      </c>
      <c r="P25" s="787">
        <v>0.76100000000000001</v>
      </c>
      <c r="Q25" s="787">
        <v>0.78900000000000003</v>
      </c>
      <c r="R25" s="787">
        <v>0.83</v>
      </c>
      <c r="S25" s="787">
        <v>0.86199999999999999</v>
      </c>
      <c r="T25" s="787">
        <v>0.89100000000000001</v>
      </c>
      <c r="U25" s="787">
        <v>0.91500000000000004</v>
      </c>
      <c r="V25" s="787">
        <v>0.92500000000000004</v>
      </c>
      <c r="W25" s="787">
        <v>0.93799999999999994</v>
      </c>
      <c r="X25" s="787">
        <v>0.96199999999999997</v>
      </c>
      <c r="Y25" s="787">
        <v>1</v>
      </c>
      <c r="Z25" s="787">
        <v>1.0249999999999999</v>
      </c>
      <c r="AA25" s="787">
        <v>1.0528985507246376</v>
      </c>
      <c r="AB25" s="787">
        <v>1.067391304347826</v>
      </c>
      <c r="AC25" s="787">
        <v>1.151086956521739</v>
      </c>
    </row>
    <row r="26" spans="1:30" x14ac:dyDescent="0.3">
      <c r="A26" s="787">
        <v>2019</v>
      </c>
      <c r="B26" s="787">
        <v>0.51600000000000001</v>
      </c>
      <c r="C26" s="787">
        <v>0.53100000000000003</v>
      </c>
      <c r="D26" s="787">
        <v>0.54500000000000004</v>
      </c>
      <c r="E26" s="787">
        <v>1.5629999999999999</v>
      </c>
      <c r="F26" s="787">
        <v>0.57699999999999996</v>
      </c>
      <c r="G26" s="787">
        <v>0.58899999999999997</v>
      </c>
      <c r="H26" s="787">
        <v>0.60399999999999998</v>
      </c>
      <c r="I26" s="787">
        <v>0.61199999999999999</v>
      </c>
      <c r="J26" s="787">
        <v>0.63</v>
      </c>
      <c r="K26" s="787">
        <v>0.64700000000000002</v>
      </c>
      <c r="L26" s="787">
        <v>0.66700000000000004</v>
      </c>
      <c r="M26" s="787">
        <v>0.68400000000000005</v>
      </c>
      <c r="N26" s="787">
        <v>0.71199999999999997</v>
      </c>
      <c r="O26" s="787">
        <v>0.74099999999999999</v>
      </c>
      <c r="P26" s="787">
        <v>0.74199999999999999</v>
      </c>
      <c r="Q26" s="787">
        <v>0.76900000000000002</v>
      </c>
      <c r="R26" s="787">
        <v>0.80900000000000005</v>
      </c>
      <c r="S26" s="787">
        <v>0.84099999999999997</v>
      </c>
      <c r="T26" s="787">
        <v>0.86899999999999999</v>
      </c>
      <c r="U26" s="787">
        <v>0.89200000000000002</v>
      </c>
      <c r="V26" s="787">
        <v>0.90200000000000002</v>
      </c>
      <c r="W26" s="787">
        <v>0.91500000000000004</v>
      </c>
      <c r="X26" s="787">
        <v>0.93799999999999994</v>
      </c>
      <c r="Y26" s="787">
        <v>0.97499999999999998</v>
      </c>
      <c r="Z26" s="787">
        <v>1</v>
      </c>
      <c r="AA26" s="787">
        <v>1.0268551236749117</v>
      </c>
      <c r="AB26" s="787">
        <v>1.0409893992932864</v>
      </c>
      <c r="AC26" s="787">
        <v>1.1226148409893992</v>
      </c>
    </row>
    <row r="27" spans="1:30" x14ac:dyDescent="0.3">
      <c r="A27" s="787">
        <v>2020</v>
      </c>
      <c r="B27" s="787">
        <v>0.50250516173434268</v>
      </c>
      <c r="C27" s="787">
        <v>0.51711286992429462</v>
      </c>
      <c r="D27" s="787">
        <v>0.53074673090158297</v>
      </c>
      <c r="E27" s="787">
        <v>1.52212319339298</v>
      </c>
      <c r="F27" s="787">
        <v>0.56190984170681346</v>
      </c>
      <c r="G27" s="787">
        <v>0.57359600825877488</v>
      </c>
      <c r="H27" s="787">
        <v>0.58820371644872671</v>
      </c>
      <c r="I27" s="787">
        <v>0.59599449415003436</v>
      </c>
      <c r="J27" s="787">
        <v>0.6135237439779766</v>
      </c>
      <c r="K27" s="787">
        <v>0.63007914659325537</v>
      </c>
      <c r="L27" s="787">
        <v>0.64955609084652444</v>
      </c>
      <c r="M27" s="787">
        <v>0.66611149346180321</v>
      </c>
      <c r="N27" s="787">
        <v>0.69337921541637981</v>
      </c>
      <c r="O27" s="787">
        <v>0.72162078458362</v>
      </c>
      <c r="P27" s="787">
        <v>0.72259463179628347</v>
      </c>
      <c r="Q27" s="787">
        <v>0.74888850653819683</v>
      </c>
      <c r="R27" s="787">
        <v>0.78784239504473508</v>
      </c>
      <c r="S27" s="787">
        <v>0.81900550584996556</v>
      </c>
      <c r="T27" s="787">
        <v>0.84627322780454228</v>
      </c>
      <c r="U27" s="787">
        <v>0.86867171369580176</v>
      </c>
      <c r="V27" s="787">
        <v>0.87841018582243635</v>
      </c>
      <c r="W27" s="787">
        <v>0.89107019958706124</v>
      </c>
      <c r="X27" s="787">
        <v>0.91346868547832061</v>
      </c>
      <c r="Y27" s="787">
        <v>0.94950103234686845</v>
      </c>
      <c r="Z27" s="787">
        <v>0.97384721266345486</v>
      </c>
      <c r="AA27" s="787">
        <v>1</v>
      </c>
      <c r="AB27" s="787">
        <v>1.0137646249139711</v>
      </c>
      <c r="AC27" s="787">
        <v>1.093255333792154</v>
      </c>
    </row>
    <row r="28" spans="1:30" x14ac:dyDescent="0.3">
      <c r="A28" s="787">
        <v>2021</v>
      </c>
      <c r="B28" s="787">
        <v>0.49568228105906303</v>
      </c>
      <c r="C28" s="787">
        <v>0.51009164969450105</v>
      </c>
      <c r="D28" s="787">
        <v>0.52354039375424311</v>
      </c>
      <c r="E28" s="787">
        <v>1.5014562118126271</v>
      </c>
      <c r="F28" s="787">
        <v>0.55428038017651049</v>
      </c>
      <c r="G28" s="787">
        <v>0.56580787508486075</v>
      </c>
      <c r="H28" s="787">
        <v>0.58021724372029859</v>
      </c>
      <c r="I28" s="787">
        <v>0.58790224032586547</v>
      </c>
      <c r="J28" s="787">
        <v>0.60519348268839102</v>
      </c>
      <c r="K28" s="787">
        <v>0.62152410047522066</v>
      </c>
      <c r="L28" s="787">
        <v>0.64073659198913779</v>
      </c>
      <c r="M28" s="787">
        <v>0.65706720977596744</v>
      </c>
      <c r="N28" s="787">
        <v>0.68396469789545133</v>
      </c>
      <c r="O28" s="787">
        <v>0.71182281059063124</v>
      </c>
      <c r="P28" s="787">
        <v>0.71278343516632714</v>
      </c>
      <c r="Q28" s="787">
        <v>0.73872029871011535</v>
      </c>
      <c r="R28" s="787">
        <v>0.77714528173794983</v>
      </c>
      <c r="S28" s="787">
        <v>0.80788526816021722</v>
      </c>
      <c r="T28" s="787">
        <v>0.83478275627970122</v>
      </c>
      <c r="U28" s="787">
        <v>0.85687712152070594</v>
      </c>
      <c r="V28" s="787">
        <v>0.86648336727766462</v>
      </c>
      <c r="W28" s="787">
        <v>0.87897148676171077</v>
      </c>
      <c r="X28" s="787">
        <v>0.90106585200271538</v>
      </c>
      <c r="Y28" s="787">
        <v>0.93660896130346216</v>
      </c>
      <c r="Z28" s="787">
        <v>0.96062457569585868</v>
      </c>
      <c r="AA28" s="787">
        <v>0.98642226748133055</v>
      </c>
      <c r="AB28" s="787">
        <v>1</v>
      </c>
      <c r="AC28" s="787">
        <v>1.0784114052953155</v>
      </c>
    </row>
    <row r="29" spans="1:30" x14ac:dyDescent="0.3">
      <c r="A29" s="787">
        <v>2022</v>
      </c>
      <c r="B29" s="787">
        <v>0.45964117091595841</v>
      </c>
      <c r="C29" s="787">
        <v>0.47300283286118988</v>
      </c>
      <c r="D29" s="787">
        <v>0.48547371734340583</v>
      </c>
      <c r="E29" s="787">
        <v>1.3922851746931066</v>
      </c>
      <c r="F29" s="787">
        <v>0.51397859615989927</v>
      </c>
      <c r="G29" s="787">
        <v>0.52466792571608434</v>
      </c>
      <c r="H29" s="787">
        <v>0.5380295876613157</v>
      </c>
      <c r="I29" s="787">
        <v>0.545155807365439</v>
      </c>
      <c r="J29" s="787">
        <v>0.56118980169971677</v>
      </c>
      <c r="K29" s="787">
        <v>0.57633301857097896</v>
      </c>
      <c r="L29" s="787">
        <v>0.59414856783128744</v>
      </c>
      <c r="M29" s="787">
        <v>0.60929178470254963</v>
      </c>
      <c r="N29" s="787">
        <v>0.63423355366698142</v>
      </c>
      <c r="O29" s="787">
        <v>0.66006610009442868</v>
      </c>
      <c r="P29" s="787">
        <v>0.66095687755744414</v>
      </c>
      <c r="Q29" s="787">
        <v>0.68500786905886057</v>
      </c>
      <c r="R29" s="787">
        <v>0.72063896757947765</v>
      </c>
      <c r="S29" s="787">
        <v>0.74914384639597109</v>
      </c>
      <c r="T29" s="787">
        <v>0.77408561536040299</v>
      </c>
      <c r="U29" s="787">
        <v>0.79457349700975766</v>
      </c>
      <c r="V29" s="787">
        <v>0.80348127163991201</v>
      </c>
      <c r="W29" s="787">
        <v>0.81506137865911243</v>
      </c>
      <c r="X29" s="787">
        <v>0.8355492603084671</v>
      </c>
      <c r="Y29" s="787">
        <v>0.86850802644003777</v>
      </c>
      <c r="Z29" s="787">
        <v>0.89077746301542338</v>
      </c>
      <c r="AA29" s="787">
        <v>0.91469940195152666</v>
      </c>
      <c r="AB29" s="787">
        <v>0.92728989612842316</v>
      </c>
      <c r="AC29" s="787">
        <v>1</v>
      </c>
      <c r="AD29">
        <v>1</v>
      </c>
    </row>
  </sheetData>
  <sheetProtection algorithmName="SHA-512" hashValue="8slFdZCjMzDXVub2y7Sk6yqgk5tDP1d+4WebRuSkdpnQ5vpfywYmVY6udsJdYKYu6zPiZJVGllTvXqvruotljg==" saltValue="f0qOwY54uhSgmOa8OSVfmg==" spinCount="100000" sheet="1" objects="1" scenarios="1"/>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Output09">
    <tabColor theme="7" tint="-0.499984740745262"/>
    <outlinePr showOutlineSymbols="0"/>
    <pageSetUpPr autoPageBreaks="0" fitToPage="1"/>
  </sheetPr>
  <dimension ref="A1:AB71"/>
  <sheetViews>
    <sheetView showGridLines="0" showRowColHeaders="0" showZeros="0" showOutlineSymbols="0" topLeftCell="A2" zoomScaleNormal="100" workbookViewId="0">
      <pane ySplit="6" topLeftCell="A8" activePane="bottomLeft" state="frozen"/>
      <selection activeCell="M48" sqref="M48"/>
      <selection pane="bottomLeft" activeCell="A8" sqref="A8"/>
    </sheetView>
  </sheetViews>
  <sheetFormatPr defaultColWidth="4.88671875" defaultRowHeight="16.2" customHeight="1" x14ac:dyDescent="0.3"/>
  <cols>
    <col min="1" max="1" width="7" style="111" bestFit="1" customWidth="1"/>
    <col min="2" max="3" width="4.88671875" style="111"/>
    <col min="4" max="4" width="4.88671875" style="112"/>
    <col min="5" max="5" width="19.5546875" style="111" customWidth="1"/>
    <col min="6" max="6" width="5.109375" style="111" customWidth="1"/>
    <col min="7" max="24" width="7.33203125" style="111" customWidth="1"/>
    <col min="25" max="25" width="7.109375" style="111" bestFit="1" customWidth="1"/>
    <col min="26" max="26" width="8.44140625" style="111" bestFit="1" customWidth="1"/>
    <col min="27" max="27" width="5.6640625" style="111" customWidth="1"/>
    <col min="28" max="28" width="7.6640625" style="111" customWidth="1"/>
    <col min="29" max="16384" width="4.88671875" style="111"/>
  </cols>
  <sheetData>
    <row r="1" spans="1:28" ht="16.2" hidden="1" customHeight="1" thickTop="1" thickBot="1" x14ac:dyDescent="0.35">
      <c r="A1" s="110" t="str">
        <f ca="1">MID(CELL("filename",A1),FIND("]",CELL("filename",A1))+1,255)</f>
        <v>MONTHLY DISTRIBUTION</v>
      </c>
      <c r="E1" s="113"/>
      <c r="F1" s="114"/>
      <c r="G1" s="114"/>
      <c r="H1" s="114"/>
      <c r="I1" s="114"/>
      <c r="J1" s="114"/>
      <c r="K1" s="114"/>
      <c r="L1" s="114"/>
      <c r="M1" s="114"/>
      <c r="N1" s="114"/>
      <c r="O1" s="114"/>
      <c r="P1" s="114"/>
      <c r="Q1" s="114"/>
      <c r="R1" s="114"/>
      <c r="S1" s="114"/>
      <c r="T1" s="114"/>
      <c r="U1" s="114"/>
      <c r="V1" s="114"/>
      <c r="W1" s="114"/>
      <c r="X1" s="115"/>
    </row>
    <row r="2" spans="1:28" ht="16.2" customHeight="1" thickTop="1" x14ac:dyDescent="0.3">
      <c r="A2" s="618">
        <f>IF(($A$3/1000000)&gt;1,1000000,IF(($A$3/1000)&gt;1,1000,1))</f>
        <v>1000</v>
      </c>
      <c r="B2" s="618">
        <f>IF((B3/1000000)&gt;1,1000000,IF((B3/1000)&gt;1,1000,1))</f>
        <v>1</v>
      </c>
      <c r="C2" s="618">
        <f>IF((C3/1000000)&gt;1,1000000,IF((C3/1000)&gt;1,1000,1))</f>
        <v>1</v>
      </c>
      <c r="D2" s="619"/>
      <c r="E2" s="116"/>
      <c r="F2" s="117"/>
      <c r="G2" s="117"/>
      <c r="H2" s="117"/>
      <c r="I2" s="117"/>
      <c r="J2" s="117"/>
      <c r="K2" s="117"/>
      <c r="L2" s="117"/>
      <c r="M2" s="117"/>
      <c r="N2" s="117"/>
      <c r="O2" s="117"/>
      <c r="P2" s="117"/>
      <c r="Q2" s="117"/>
      <c r="R2" s="117"/>
      <c r="S2" s="117"/>
      <c r="T2" s="117"/>
      <c r="U2" s="117"/>
      <c r="V2" s="117"/>
      <c r="W2" s="117"/>
      <c r="X2" s="118"/>
    </row>
    <row r="3" spans="1:28" ht="26.4" customHeight="1" x14ac:dyDescent="0.3">
      <c r="A3" s="620">
        <f>MIN($F44:$Q44)+MIN($F45:$Q45)+MIN($F46:$Q46)+MIN($F47:$Q47)</f>
        <v>49357.975857797021</v>
      </c>
      <c r="B3" s="620">
        <f>MIN($F48:$Q48)+MIN($F49:$Q49)+MIN($F50:$Q50)+MIN($F51:$Q51)</f>
        <v>222.75981664976626</v>
      </c>
      <c r="C3" s="620">
        <f>MIN($F52:$Q52)+MIN($F53:$Q53)+MIN($F54:$Q54)+MIN($F55:$Q55)</f>
        <v>772.66333211323422</v>
      </c>
      <c r="D3" s="619"/>
      <c r="E3" s="119"/>
      <c r="F3" s="120"/>
      <c r="G3" s="120"/>
      <c r="H3" s="120"/>
      <c r="I3" s="120"/>
      <c r="J3" s="120"/>
      <c r="K3" s="120"/>
      <c r="L3" s="120"/>
      <c r="M3" s="120"/>
      <c r="N3" s="120"/>
      <c r="O3" s="120"/>
      <c r="P3" s="120"/>
      <c r="Q3" s="120"/>
      <c r="R3" s="120"/>
      <c r="S3" s="120"/>
      <c r="T3" s="120"/>
      <c r="U3" s="120"/>
      <c r="V3" s="120"/>
      <c r="W3" s="120"/>
      <c r="X3" s="121"/>
    </row>
    <row r="4" spans="1:28" ht="26.4" customHeight="1" x14ac:dyDescent="0.3">
      <c r="A4" s="621" t="str">
        <f>IF(A$2=1,"£000s",IF(A$2=1000,"£M","£Bn"))</f>
        <v>£M</v>
      </c>
      <c r="B4" s="621" t="str">
        <f>IF(B$2=1,"000s",IF(B$2=1000,"M","Bn"))</f>
        <v>000s</v>
      </c>
      <c r="C4" s="621" t="str">
        <f>IF(C$2=1,"000s",IF(C$2=1000,"M","Bn"))</f>
        <v>000s</v>
      </c>
      <c r="D4" s="619"/>
      <c r="E4" s="204"/>
      <c r="F4" s="205"/>
      <c r="G4" s="205"/>
      <c r="H4" s="205"/>
      <c r="I4" s="205"/>
      <c r="J4" s="205"/>
      <c r="K4" s="205"/>
      <c r="L4" s="205"/>
      <c r="M4" s="205"/>
      <c r="N4" s="205"/>
      <c r="O4" s="205"/>
      <c r="P4" s="205"/>
      <c r="Q4" s="205"/>
      <c r="R4" s="205"/>
      <c r="S4" s="205"/>
      <c r="T4" s="205"/>
      <c r="U4" s="205"/>
      <c r="V4" s="205"/>
      <c r="W4" s="205"/>
      <c r="X4" s="206"/>
    </row>
    <row r="5" spans="1:28" ht="26.4" customHeight="1" thickBot="1" x14ac:dyDescent="0.35">
      <c r="A5" s="621"/>
      <c r="B5" s="621"/>
      <c r="C5" s="621"/>
      <c r="D5" s="619"/>
      <c r="E5" s="207"/>
      <c r="F5" s="208"/>
      <c r="G5" s="208"/>
      <c r="H5" s="208"/>
      <c r="I5" s="208"/>
      <c r="J5" s="208"/>
      <c r="K5" s="208"/>
      <c r="L5" s="208"/>
      <c r="M5" s="406" t="str">
        <f>"INDEXATION TO "&amp;MAX(REP.yearsrange)&amp;" PRICES"</f>
        <v>INDEXATION TO 2022 PRICES</v>
      </c>
      <c r="N5" s="208"/>
      <c r="O5" s="208"/>
      <c r="P5" s="208"/>
      <c r="Q5" s="208"/>
      <c r="R5" s="208"/>
      <c r="S5" s="208"/>
      <c r="T5" s="208"/>
      <c r="U5" s="208"/>
      <c r="V5" s="208"/>
      <c r="W5" s="208"/>
      <c r="X5" s="209"/>
    </row>
    <row r="6" spans="1:28" ht="16.2" customHeight="1" thickTop="1" x14ac:dyDescent="0.3">
      <c r="A6" s="617"/>
      <c r="E6" s="407" t="str">
        <f>REP.title1</f>
        <v>STEAM FINAL TREND REPORT FOR 2011-2022</v>
      </c>
      <c r="F6" s="408"/>
      <c r="G6" s="408"/>
      <c r="H6" s="408"/>
      <c r="I6" s="408"/>
      <c r="J6" s="408"/>
      <c r="K6" s="408"/>
      <c r="L6" s="408"/>
      <c r="M6" s="408"/>
      <c r="N6" s="408"/>
      <c r="O6" s="939">
        <f>CHARTYEAR</f>
        <v>2022</v>
      </c>
      <c r="P6" s="940"/>
      <c r="Q6" s="940"/>
      <c r="R6" s="941"/>
      <c r="S6" s="964" t="str">
        <f>UPPER(TOTAL)</f>
        <v>TOTAL</v>
      </c>
      <c r="T6" s="965"/>
      <c r="U6" s="974" t="str">
        <f>IF(REP.indexed="YES","DISTRIBUTION BY MONTH"&amp;CHAR(10)&amp;"Indexed","DISTRIBUTION BY MONTH"&amp;CHAR(10)&amp;"Historic Prices")</f>
        <v>DISTRIBUTION BY MONTH
Indexed</v>
      </c>
      <c r="V6" s="975"/>
      <c r="W6" s="975"/>
      <c r="X6" s="976"/>
    </row>
    <row r="7" spans="1:28" ht="16.2" customHeight="1" thickBot="1" x14ac:dyDescent="0.35">
      <c r="E7" s="409" t="str">
        <f>REP.title2</f>
        <v>GWYNEDD COUNCIL</v>
      </c>
      <c r="F7" s="410"/>
      <c r="G7" s="410"/>
      <c r="H7" s="410"/>
      <c r="I7" s="411"/>
      <c r="J7" s="411"/>
      <c r="K7" s="411"/>
      <c r="L7" s="411"/>
      <c r="M7" s="411"/>
      <c r="N7" s="411"/>
      <c r="O7" s="942" t="str">
        <f>IF(REP.indexed="YES",MAX(REP.yearsrange)&amp;" Prices","Historic Prices")</f>
        <v>2022 Prices</v>
      </c>
      <c r="P7" s="943"/>
      <c r="Q7" s="943"/>
      <c r="R7" s="944"/>
      <c r="S7" s="966"/>
      <c r="T7" s="967"/>
      <c r="U7" s="977"/>
      <c r="V7" s="978"/>
      <c r="W7" s="978"/>
      <c r="X7" s="979"/>
    </row>
    <row r="8" spans="1:28" ht="16.2" customHeight="1" thickTop="1" thickBot="1" x14ac:dyDescent="0.35">
      <c r="E8" s="863" t="str">
        <f>IF(REP.indexed="YES","ECONOMIC IMPACT - "&amp;CHARTYEAR&amp;" Indexed - "&amp;$A$4,"Economic Impact - Historic Prices - "&amp;$A$4)&amp;" - Distribution of Impact by Month"</f>
        <v>ECONOMIC IMPACT - 2022 Indexed - £M - Distribution of Impact by Month</v>
      </c>
      <c r="F8" s="864"/>
      <c r="G8" s="864"/>
      <c r="H8" s="864"/>
      <c r="I8" s="864"/>
      <c r="J8" s="864"/>
      <c r="K8" s="864"/>
      <c r="L8" s="864"/>
      <c r="M8" s="864"/>
      <c r="N8" s="864"/>
      <c r="O8" s="926" t="str">
        <f ca="1">PROPER('VISITOR NUMBERS'!$U$6)&amp;" - "&amp;CHARTYEAR&amp;" - "&amp;$B$4&amp;" - Distribution of Impact by Month"</f>
        <v>Visitor Numbers - 2022 - 000s - Distribution of Impact by Month</v>
      </c>
      <c r="P8" s="927"/>
      <c r="Q8" s="927"/>
      <c r="R8" s="927"/>
      <c r="S8" s="927"/>
      <c r="T8" s="927"/>
      <c r="U8" s="927"/>
      <c r="V8" s="927"/>
      <c r="W8" s="927"/>
      <c r="X8" s="928"/>
    </row>
    <row r="9" spans="1:28" s="125" customFormat="1" ht="16.2" customHeight="1" thickTop="1" x14ac:dyDescent="0.3">
      <c r="E9" s="425"/>
      <c r="F9" s="423"/>
      <c r="G9" s="423"/>
      <c r="H9" s="423"/>
      <c r="I9" s="423"/>
      <c r="J9" s="423"/>
      <c r="K9" s="423"/>
      <c r="L9" s="423"/>
      <c r="M9" s="423"/>
      <c r="N9" s="423"/>
      <c r="O9" s="423"/>
      <c r="P9" s="423"/>
      <c r="Q9" s="423"/>
      <c r="R9" s="423"/>
      <c r="S9" s="423"/>
      <c r="T9" s="423"/>
      <c r="U9" s="423"/>
      <c r="V9" s="423"/>
      <c r="W9" s="423"/>
      <c r="X9" s="424"/>
    </row>
    <row r="10" spans="1:28" s="125" customFormat="1" ht="16.2" customHeight="1" x14ac:dyDescent="0.3">
      <c r="E10" s="142"/>
      <c r="F10" s="143"/>
      <c r="G10" s="143"/>
      <c r="H10" s="143"/>
      <c r="I10" s="143"/>
      <c r="J10" s="143"/>
      <c r="K10" s="143"/>
      <c r="L10" s="143"/>
      <c r="M10" s="143"/>
      <c r="N10" s="143"/>
      <c r="O10" s="143"/>
      <c r="P10" s="143"/>
      <c r="Q10" s="143"/>
      <c r="R10" s="143"/>
      <c r="S10" s="143"/>
      <c r="T10" s="143"/>
      <c r="U10" s="143"/>
      <c r="V10" s="143"/>
      <c r="W10" s="143"/>
      <c r="X10" s="426"/>
      <c r="Z10" s="485"/>
      <c r="AA10" s="484"/>
      <c r="AB10" s="483"/>
    </row>
    <row r="11" spans="1:28" s="125" customFormat="1" ht="16.2" customHeight="1" x14ac:dyDescent="0.3">
      <c r="E11" s="142"/>
      <c r="F11" s="143"/>
      <c r="G11" s="143"/>
      <c r="H11" s="143"/>
      <c r="I11" s="143"/>
      <c r="J11" s="143"/>
      <c r="K11" s="143"/>
      <c r="L11" s="143"/>
      <c r="M11" s="143"/>
      <c r="N11" s="143"/>
      <c r="O11" s="143"/>
      <c r="P11" s="143"/>
      <c r="Q11" s="143"/>
      <c r="R11" s="143"/>
      <c r="S11" s="143"/>
      <c r="T11" s="143"/>
      <c r="U11" s="143"/>
      <c r="V11" s="143"/>
      <c r="W11" s="143"/>
      <c r="X11" s="426"/>
      <c r="Z11" s="485"/>
      <c r="AA11" s="484"/>
      <c r="AB11" s="483"/>
    </row>
    <row r="12" spans="1:28" ht="16.2" customHeight="1" x14ac:dyDescent="0.3">
      <c r="E12" s="609"/>
      <c r="F12" s="413"/>
      <c r="G12" s="413"/>
      <c r="H12" s="413"/>
      <c r="I12" s="413"/>
      <c r="J12" s="413"/>
      <c r="K12" s="413"/>
      <c r="L12" s="413"/>
      <c r="M12" s="413"/>
      <c r="N12" s="413"/>
      <c r="O12" s="413"/>
      <c r="P12" s="413"/>
      <c r="Q12" s="413"/>
      <c r="R12" s="413"/>
      <c r="S12" s="413"/>
      <c r="T12" s="413"/>
      <c r="U12" s="413"/>
      <c r="V12" s="413"/>
      <c r="W12" s="413"/>
      <c r="X12" s="414"/>
      <c r="Z12" s="485"/>
      <c r="AA12" s="484"/>
      <c r="AB12" s="483"/>
    </row>
    <row r="13" spans="1:28" ht="16.2" customHeight="1" x14ac:dyDescent="0.3">
      <c r="E13" s="610"/>
      <c r="F13" s="429"/>
      <c r="G13" s="429"/>
      <c r="H13" s="429"/>
      <c r="I13" s="429"/>
      <c r="J13" s="429"/>
      <c r="K13" s="429"/>
      <c r="L13" s="429"/>
      <c r="M13" s="429"/>
      <c r="N13" s="429"/>
      <c r="O13" s="429"/>
      <c r="P13" s="429"/>
      <c r="Q13" s="429"/>
      <c r="R13" s="429"/>
      <c r="S13" s="429"/>
      <c r="T13" s="429"/>
      <c r="U13" s="429"/>
      <c r="V13" s="429"/>
      <c r="W13" s="429"/>
      <c r="X13" s="430"/>
      <c r="Z13" s="485"/>
      <c r="AA13" s="484"/>
      <c r="AB13" s="483"/>
    </row>
    <row r="14" spans="1:28" ht="16.2" customHeight="1" x14ac:dyDescent="0.3">
      <c r="E14" s="610"/>
      <c r="F14" s="429"/>
      <c r="G14" s="429"/>
      <c r="H14" s="429"/>
      <c r="I14" s="429"/>
      <c r="J14" s="429"/>
      <c r="K14" s="429"/>
      <c r="L14" s="429"/>
      <c r="M14" s="429"/>
      <c r="N14" s="429"/>
      <c r="O14" s="429"/>
      <c r="P14" s="429"/>
      <c r="Q14" s="429"/>
      <c r="R14" s="429"/>
      <c r="S14" s="429"/>
      <c r="T14" s="429"/>
      <c r="U14" s="429"/>
      <c r="V14" s="429"/>
      <c r="W14" s="429"/>
      <c r="X14" s="430"/>
      <c r="Z14" s="485"/>
      <c r="AA14" s="484"/>
      <c r="AB14" s="483"/>
    </row>
    <row r="15" spans="1:28" ht="16.2" customHeight="1" x14ac:dyDescent="0.3">
      <c r="E15" s="610"/>
      <c r="F15" s="429"/>
      <c r="G15" s="429"/>
      <c r="H15" s="429"/>
      <c r="I15" s="429"/>
      <c r="J15" s="429"/>
      <c r="K15" s="429"/>
      <c r="L15" s="429"/>
      <c r="M15" s="429"/>
      <c r="N15" s="429"/>
      <c r="O15" s="429"/>
      <c r="P15" s="429"/>
      <c r="Q15" s="429"/>
      <c r="R15" s="429"/>
      <c r="S15" s="429"/>
      <c r="T15" s="429"/>
      <c r="U15" s="429"/>
      <c r="V15" s="429"/>
      <c r="W15" s="429"/>
      <c r="X15" s="430"/>
      <c r="Z15" s="485"/>
      <c r="AA15" s="484"/>
      <c r="AB15" s="483"/>
    </row>
    <row r="16" spans="1:28" ht="16.2" customHeight="1" x14ac:dyDescent="0.3">
      <c r="E16" s="611"/>
      <c r="F16" s="417"/>
      <c r="G16" s="417"/>
      <c r="H16" s="417"/>
      <c r="I16" s="417"/>
      <c r="J16" s="417"/>
      <c r="K16" s="417"/>
      <c r="L16" s="417"/>
      <c r="M16" s="417"/>
      <c r="N16" s="417"/>
      <c r="O16" s="417"/>
      <c r="P16" s="417"/>
      <c r="Q16" s="417"/>
      <c r="R16" s="417"/>
      <c r="S16" s="417"/>
      <c r="T16" s="417"/>
      <c r="U16" s="417"/>
      <c r="V16" s="417"/>
      <c r="W16" s="417"/>
      <c r="X16" s="419"/>
      <c r="Y16" s="270"/>
      <c r="Z16" s="485"/>
      <c r="AA16" s="484"/>
      <c r="AB16" s="483"/>
    </row>
    <row r="17" spans="4:28" ht="16.2" customHeight="1" x14ac:dyDescent="0.3">
      <c r="E17" s="611"/>
      <c r="F17" s="417"/>
      <c r="G17" s="417"/>
      <c r="H17" s="417"/>
      <c r="I17" s="417"/>
      <c r="J17" s="417"/>
      <c r="K17" s="417"/>
      <c r="L17" s="417"/>
      <c r="M17" s="417"/>
      <c r="N17" s="417"/>
      <c r="O17" s="417"/>
      <c r="P17" s="417"/>
      <c r="Q17" s="417"/>
      <c r="R17" s="417"/>
      <c r="S17" s="417"/>
      <c r="T17" s="417"/>
      <c r="U17" s="417"/>
      <c r="V17" s="417"/>
      <c r="W17" s="417"/>
      <c r="X17" s="419"/>
      <c r="Z17" s="485"/>
      <c r="AA17" s="484"/>
      <c r="AB17" s="483"/>
    </row>
    <row r="18" spans="4:28" ht="16.2" customHeight="1" x14ac:dyDescent="0.3">
      <c r="E18" s="611"/>
      <c r="F18" s="417"/>
      <c r="G18" s="417"/>
      <c r="H18" s="417"/>
      <c r="I18" s="417"/>
      <c r="J18" s="417"/>
      <c r="K18" s="417"/>
      <c r="L18" s="417"/>
      <c r="M18" s="417"/>
      <c r="N18" s="417"/>
      <c r="O18" s="417"/>
      <c r="P18" s="417"/>
      <c r="Q18" s="417"/>
      <c r="R18" s="417"/>
      <c r="S18" s="417"/>
      <c r="T18" s="417"/>
      <c r="U18" s="417"/>
      <c r="V18" s="417"/>
      <c r="W18" s="417"/>
      <c r="X18" s="419"/>
      <c r="Z18" s="485"/>
      <c r="AA18" s="484"/>
      <c r="AB18" s="483"/>
    </row>
    <row r="19" spans="4:28" ht="16.2" customHeight="1" x14ac:dyDescent="0.3">
      <c r="E19" s="611"/>
      <c r="F19" s="417"/>
      <c r="G19" s="417"/>
      <c r="H19" s="417"/>
      <c r="I19" s="417"/>
      <c r="J19" s="417"/>
      <c r="K19" s="417"/>
      <c r="L19" s="417"/>
      <c r="M19" s="417"/>
      <c r="N19" s="417"/>
      <c r="O19" s="417"/>
      <c r="P19" s="417"/>
      <c r="Q19" s="417"/>
      <c r="R19" s="417"/>
      <c r="S19" s="417"/>
      <c r="T19" s="417"/>
      <c r="U19" s="417"/>
      <c r="V19" s="417"/>
      <c r="W19" s="417"/>
      <c r="X19" s="419"/>
      <c r="Z19" s="485"/>
      <c r="AA19" s="484"/>
      <c r="AB19" s="483"/>
    </row>
    <row r="20" spans="4:28" ht="16.2" customHeight="1" x14ac:dyDescent="0.3">
      <c r="E20" s="612"/>
      <c r="F20" s="427"/>
      <c r="G20" s="427"/>
      <c r="H20" s="427"/>
      <c r="I20" s="427"/>
      <c r="J20" s="427"/>
      <c r="K20" s="427"/>
      <c r="L20" s="427"/>
      <c r="M20" s="427"/>
      <c r="N20" s="427"/>
      <c r="O20" s="427"/>
      <c r="P20" s="427"/>
      <c r="Q20" s="427"/>
      <c r="R20" s="427"/>
      <c r="S20" s="427"/>
      <c r="T20" s="427"/>
      <c r="U20" s="427"/>
      <c r="V20" s="427"/>
      <c r="W20" s="427"/>
      <c r="X20" s="431"/>
      <c r="Z20" s="485"/>
      <c r="AA20" s="484"/>
      <c r="AB20" s="483"/>
    </row>
    <row r="21" spans="4:28" ht="16.2" customHeight="1" thickBot="1" x14ac:dyDescent="0.35">
      <c r="E21" s="613"/>
      <c r="F21" s="432"/>
      <c r="G21" s="432"/>
      <c r="H21" s="432"/>
      <c r="I21" s="432"/>
      <c r="J21" s="432"/>
      <c r="K21" s="432"/>
      <c r="L21" s="432"/>
      <c r="M21" s="432"/>
      <c r="N21" s="432"/>
      <c r="O21" s="432"/>
      <c r="P21" s="432"/>
      <c r="Q21" s="432"/>
      <c r="R21" s="432"/>
      <c r="S21" s="432"/>
      <c r="T21" s="432"/>
      <c r="U21" s="432"/>
      <c r="V21" s="432"/>
      <c r="W21" s="432"/>
      <c r="X21" s="169"/>
      <c r="Z21" s="485"/>
      <c r="AA21" s="484"/>
      <c r="AB21" s="483"/>
    </row>
    <row r="22" spans="4:28" ht="16.2" customHeight="1" thickTop="1" thickBot="1" x14ac:dyDescent="0.35">
      <c r="E22" s="613"/>
      <c r="F22" s="432"/>
      <c r="G22" s="432"/>
      <c r="H22" s="432"/>
      <c r="I22" s="432"/>
      <c r="J22" s="432"/>
      <c r="K22" s="432"/>
      <c r="L22" s="432"/>
      <c r="M22" s="432"/>
      <c r="N22" s="432"/>
      <c r="O22" s="432"/>
      <c r="P22" s="432"/>
      <c r="Q22" s="432"/>
      <c r="R22" s="432"/>
      <c r="S22" s="432"/>
      <c r="T22" s="432"/>
      <c r="U22" s="432"/>
      <c r="V22" s="432"/>
      <c r="W22" s="432"/>
      <c r="X22" s="169"/>
      <c r="Z22" s="485"/>
      <c r="AA22" s="484"/>
      <c r="AB22" s="483"/>
    </row>
    <row r="23" spans="4:28" ht="16.2" customHeight="1" thickTop="1" thickBot="1" x14ac:dyDescent="0.35">
      <c r="E23" s="947" t="str">
        <f ca="1">PROPER('VISITOR DAYS'!$U$6)&amp;" - "&amp;CHARTYEAR&amp;" - "&amp;$C$4&amp;" - Distribution of Impact by Month"</f>
        <v>Visitor Days - 2022 - 000s - Distribution of Impact by Month</v>
      </c>
      <c r="F23" s="948"/>
      <c r="G23" s="948"/>
      <c r="H23" s="948"/>
      <c r="I23" s="948"/>
      <c r="J23" s="948"/>
      <c r="K23" s="948"/>
      <c r="L23" s="948"/>
      <c r="M23" s="948"/>
      <c r="N23" s="948"/>
      <c r="O23" s="949" t="str">
        <f>"Direct Employment Supported - "&amp;CHARTYEAR&amp;" - FTEs - Distribution of Impact by Month"</f>
        <v>Direct Employment Supported - 2022 - FTEs - Distribution of Impact by Month</v>
      </c>
      <c r="P23" s="950"/>
      <c r="Q23" s="950"/>
      <c r="R23" s="950"/>
      <c r="S23" s="950"/>
      <c r="T23" s="950"/>
      <c r="U23" s="950"/>
      <c r="V23" s="950"/>
      <c r="W23" s="950"/>
      <c r="X23" s="951"/>
      <c r="Z23" s="485"/>
      <c r="AA23" s="484"/>
      <c r="AB23" s="483"/>
    </row>
    <row r="24" spans="4:28" ht="16.2" customHeight="1" thickTop="1" x14ac:dyDescent="0.3">
      <c r="E24" s="614"/>
      <c r="F24" s="603"/>
      <c r="G24" s="603"/>
      <c r="H24" s="603"/>
      <c r="I24" s="603"/>
      <c r="J24" s="603"/>
      <c r="K24" s="603"/>
      <c r="L24" s="603"/>
      <c r="M24" s="603"/>
      <c r="N24" s="603"/>
      <c r="O24" s="603"/>
      <c r="P24" s="603"/>
      <c r="Q24" s="603"/>
      <c r="R24" s="603"/>
      <c r="S24" s="603"/>
      <c r="T24" s="603"/>
      <c r="U24" s="603"/>
      <c r="V24" s="603"/>
      <c r="W24" s="604"/>
      <c r="X24" s="424"/>
      <c r="AA24" s="485"/>
      <c r="AB24" s="483"/>
    </row>
    <row r="25" spans="4:28" ht="16.2" customHeight="1" x14ac:dyDescent="0.3">
      <c r="E25" s="615"/>
      <c r="F25" s="605"/>
      <c r="G25" s="605"/>
      <c r="H25" s="605"/>
      <c r="I25" s="605"/>
      <c r="J25" s="605"/>
      <c r="K25" s="605"/>
      <c r="L25" s="605"/>
      <c r="M25" s="605"/>
      <c r="N25" s="605"/>
      <c r="O25" s="605"/>
      <c r="P25" s="605"/>
      <c r="Q25" s="605"/>
      <c r="R25" s="605"/>
      <c r="S25" s="605"/>
      <c r="T25" s="605"/>
      <c r="U25" s="605"/>
      <c r="V25" s="605"/>
      <c r="W25" s="605"/>
      <c r="X25" s="428"/>
      <c r="AA25" s="485"/>
      <c r="AB25" s="483"/>
    </row>
    <row r="26" spans="4:28" ht="16.2" customHeight="1" x14ac:dyDescent="0.3">
      <c r="E26" s="420"/>
      <c r="F26" s="159"/>
      <c r="G26" s="159"/>
      <c r="H26" s="159"/>
      <c r="I26" s="159"/>
      <c r="J26" s="159"/>
      <c r="K26" s="159"/>
      <c r="L26" s="159"/>
      <c r="M26" s="159"/>
      <c r="N26" s="159"/>
      <c r="O26" s="159"/>
      <c r="P26" s="159"/>
      <c r="Q26" s="159"/>
      <c r="R26" s="159"/>
      <c r="S26" s="159"/>
      <c r="T26" s="159"/>
      <c r="U26" s="159"/>
      <c r="V26" s="159"/>
      <c r="W26" s="159"/>
      <c r="X26" s="430"/>
      <c r="AA26" s="485"/>
      <c r="AB26" s="483"/>
    </row>
    <row r="27" spans="4:28" ht="16.2" customHeight="1" x14ac:dyDescent="0.3">
      <c r="E27" s="420"/>
      <c r="F27" s="159"/>
      <c r="G27" s="159"/>
      <c r="H27" s="159"/>
      <c r="I27" s="159"/>
      <c r="J27" s="159"/>
      <c r="K27" s="159"/>
      <c r="L27" s="159"/>
      <c r="M27" s="159"/>
      <c r="N27" s="159"/>
      <c r="O27" s="159"/>
      <c r="P27" s="159"/>
      <c r="Q27" s="159"/>
      <c r="R27" s="159"/>
      <c r="S27" s="159"/>
      <c r="T27" s="159"/>
      <c r="U27" s="159"/>
      <c r="V27" s="159"/>
      <c r="W27" s="159"/>
      <c r="X27" s="430"/>
      <c r="Z27" s="485">
        <f>R64</f>
        <v>0</v>
      </c>
      <c r="AA27" s="484"/>
      <c r="AB27" s="483"/>
    </row>
    <row r="28" spans="4:28" ht="16.2" customHeight="1" x14ac:dyDescent="0.3">
      <c r="D28" s="196"/>
      <c r="E28" s="420"/>
      <c r="F28" s="159"/>
      <c r="G28" s="159"/>
      <c r="H28" s="159"/>
      <c r="I28" s="159"/>
      <c r="J28" s="159"/>
      <c r="K28" s="159"/>
      <c r="L28" s="159"/>
      <c r="M28" s="159"/>
      <c r="N28" s="159"/>
      <c r="O28" s="159"/>
      <c r="P28" s="159"/>
      <c r="Q28" s="159"/>
      <c r="R28" s="159"/>
      <c r="S28" s="159"/>
      <c r="T28" s="159"/>
      <c r="U28" s="159"/>
      <c r="V28" s="159"/>
      <c r="W28" s="159"/>
      <c r="X28" s="430"/>
      <c r="Z28" s="485"/>
      <c r="AA28" s="484"/>
      <c r="AB28" s="483"/>
    </row>
    <row r="29" spans="4:28" ht="16.2" customHeight="1" x14ac:dyDescent="0.3">
      <c r="D29" s="196"/>
      <c r="E29" s="616"/>
      <c r="F29" s="418"/>
      <c r="G29" s="418"/>
      <c r="H29" s="418"/>
      <c r="I29" s="418"/>
      <c r="J29" s="418"/>
      <c r="K29" s="418"/>
      <c r="L29" s="418"/>
      <c r="M29" s="418"/>
      <c r="N29" s="418"/>
      <c r="O29" s="418"/>
      <c r="P29" s="418"/>
      <c r="Q29" s="418"/>
      <c r="R29" s="418"/>
      <c r="S29" s="418"/>
      <c r="T29" s="418"/>
      <c r="U29" s="418"/>
      <c r="V29" s="418"/>
      <c r="W29" s="418"/>
      <c r="X29" s="419"/>
      <c r="Z29" s="485"/>
      <c r="AA29" s="484"/>
      <c r="AB29" s="484"/>
    </row>
    <row r="30" spans="4:28" ht="16.2" customHeight="1" x14ac:dyDescent="0.3">
      <c r="D30" s="196"/>
      <c r="E30" s="616"/>
      <c r="F30" s="418"/>
      <c r="G30" s="418"/>
      <c r="H30" s="418"/>
      <c r="I30" s="418"/>
      <c r="J30" s="418"/>
      <c r="K30" s="418"/>
      <c r="L30" s="418"/>
      <c r="M30" s="418"/>
      <c r="N30" s="418"/>
      <c r="O30" s="418"/>
      <c r="P30" s="418"/>
      <c r="Q30" s="418"/>
      <c r="R30" s="418"/>
      <c r="S30" s="418"/>
      <c r="T30" s="418"/>
      <c r="U30" s="418"/>
      <c r="V30" s="418"/>
      <c r="W30" s="418"/>
      <c r="X30" s="419"/>
      <c r="Z30" s="485"/>
      <c r="AA30" s="484"/>
      <c r="AB30" s="484"/>
    </row>
    <row r="31" spans="4:28" ht="16.2" customHeight="1" x14ac:dyDescent="0.3">
      <c r="D31" s="196"/>
      <c r="E31" s="616"/>
      <c r="F31" s="418"/>
      <c r="G31" s="418"/>
      <c r="H31" s="418"/>
      <c r="I31" s="418"/>
      <c r="J31" s="418"/>
      <c r="K31" s="418"/>
      <c r="L31" s="418"/>
      <c r="M31" s="418"/>
      <c r="N31" s="418"/>
      <c r="O31" s="418"/>
      <c r="P31" s="418"/>
      <c r="Q31" s="418"/>
      <c r="R31" s="418"/>
      <c r="S31" s="418"/>
      <c r="T31" s="418"/>
      <c r="U31" s="418"/>
      <c r="V31" s="418"/>
      <c r="W31" s="418"/>
      <c r="X31" s="419"/>
      <c r="Z31" s="485"/>
      <c r="AA31" s="484"/>
      <c r="AB31" s="484"/>
    </row>
    <row r="32" spans="4:28" ht="16.2" customHeight="1" x14ac:dyDescent="0.3">
      <c r="D32" s="196"/>
      <c r="E32" s="616"/>
      <c r="F32" s="418"/>
      <c r="G32" s="418"/>
      <c r="H32" s="418"/>
      <c r="I32" s="418"/>
      <c r="J32" s="418"/>
      <c r="K32" s="418"/>
      <c r="L32" s="418"/>
      <c r="M32" s="418"/>
      <c r="N32" s="418"/>
      <c r="O32" s="418"/>
      <c r="P32" s="418"/>
      <c r="Q32" s="418"/>
      <c r="R32" s="418"/>
      <c r="S32" s="418"/>
      <c r="T32" s="418"/>
      <c r="U32" s="418"/>
      <c r="V32" s="418"/>
      <c r="W32" s="418"/>
      <c r="X32" s="419"/>
      <c r="Z32" s="485"/>
      <c r="AA32" s="484"/>
      <c r="AB32" s="483"/>
    </row>
    <row r="33" spans="3:28" ht="16.2" customHeight="1" x14ac:dyDescent="0.3">
      <c r="D33" s="196"/>
      <c r="E33" s="247"/>
      <c r="F33" s="486"/>
      <c r="G33" s="487"/>
      <c r="H33" s="487"/>
      <c r="I33" s="488"/>
      <c r="J33" s="488"/>
      <c r="K33" s="488"/>
      <c r="L33" s="488"/>
      <c r="M33" s="488"/>
      <c r="N33" s="489"/>
      <c r="O33" s="606"/>
      <c r="P33" s="488"/>
      <c r="Q33" s="488"/>
      <c r="R33" s="607"/>
      <c r="S33" s="418"/>
      <c r="T33" s="440"/>
      <c r="U33" s="440"/>
      <c r="V33" s="440"/>
      <c r="W33" s="440"/>
      <c r="X33" s="454"/>
      <c r="Z33" s="485"/>
      <c r="AA33" s="484"/>
      <c r="AB33" s="483"/>
    </row>
    <row r="34" spans="3:28" ht="16.2" customHeight="1" x14ac:dyDescent="0.3">
      <c r="D34" s="196"/>
      <c r="E34" s="490"/>
      <c r="F34" s="491"/>
      <c r="G34" s="492"/>
      <c r="H34" s="492"/>
      <c r="I34" s="492"/>
      <c r="J34" s="492"/>
      <c r="K34" s="492"/>
      <c r="L34" s="492"/>
      <c r="M34" s="492"/>
      <c r="N34" s="493"/>
      <c r="O34" s="608"/>
      <c r="P34" s="492"/>
      <c r="Q34" s="492"/>
      <c r="R34" s="159"/>
      <c r="S34" s="418"/>
      <c r="T34" s="440"/>
      <c r="U34" s="440"/>
      <c r="V34" s="440"/>
      <c r="W34" s="440"/>
      <c r="X34" s="454"/>
      <c r="Z34" s="240"/>
    </row>
    <row r="35" spans="3:28" ht="16.2" customHeight="1" x14ac:dyDescent="0.3">
      <c r="D35" s="196"/>
      <c r="E35" s="490"/>
      <c r="F35" s="491"/>
      <c r="G35" s="492"/>
      <c r="H35" s="492"/>
      <c r="I35" s="492"/>
      <c r="J35" s="492"/>
      <c r="K35" s="492"/>
      <c r="L35" s="492"/>
      <c r="M35" s="492"/>
      <c r="N35" s="493"/>
      <c r="O35" s="608"/>
      <c r="P35" s="492"/>
      <c r="Q35" s="492"/>
      <c r="R35" s="159"/>
      <c r="S35" s="418"/>
      <c r="T35" s="418"/>
      <c r="U35" s="418"/>
      <c r="V35" s="418"/>
      <c r="W35" s="418"/>
      <c r="X35" s="419"/>
      <c r="Z35" s="240"/>
    </row>
    <row r="36" spans="3:28" ht="16.2" customHeight="1" x14ac:dyDescent="0.3">
      <c r="D36" s="196"/>
      <c r="E36" s="490"/>
      <c r="F36" s="491"/>
      <c r="G36" s="492"/>
      <c r="H36" s="492"/>
      <c r="I36" s="492"/>
      <c r="J36" s="492"/>
      <c r="K36" s="492"/>
      <c r="L36" s="492"/>
      <c r="M36" s="492"/>
      <c r="N36" s="493"/>
      <c r="O36" s="608"/>
      <c r="P36" s="492"/>
      <c r="Q36" s="492"/>
      <c r="R36" s="159"/>
      <c r="S36" s="418"/>
      <c r="T36" s="418"/>
      <c r="U36" s="418"/>
      <c r="V36" s="418"/>
      <c r="W36" s="418"/>
      <c r="X36" s="419"/>
      <c r="Z36" s="240"/>
    </row>
    <row r="37" spans="3:28" ht="16.2" customHeight="1" thickBot="1" x14ac:dyDescent="0.35">
      <c r="D37" s="196"/>
      <c r="E37" s="455"/>
      <c r="F37" s="456"/>
      <c r="G37" s="457"/>
      <c r="H37" s="457"/>
      <c r="I37" s="457"/>
      <c r="J37" s="457"/>
      <c r="K37" s="457"/>
      <c r="L37" s="457"/>
      <c r="M37" s="457"/>
      <c r="N37" s="458"/>
      <c r="O37" s="459"/>
      <c r="P37" s="457"/>
      <c r="Q37" s="457"/>
      <c r="R37" s="457"/>
      <c r="S37" s="277"/>
      <c r="T37" s="277"/>
      <c r="U37" s="277"/>
      <c r="V37" s="277"/>
      <c r="W37" s="277"/>
      <c r="X37" s="278"/>
      <c r="Z37" s="240"/>
    </row>
    <row r="38" spans="3:28" s="174" customFormat="1" ht="16.2" customHeight="1" thickTop="1" thickBot="1" x14ac:dyDescent="0.2">
      <c r="D38" s="170"/>
      <c r="E38" s="171" t="str">
        <f>REP.footer1</f>
        <v>This report is copyright © Global Tourism Solutions (UK) Ltd 2023</v>
      </c>
      <c r="F38" s="172"/>
      <c r="G38" s="172"/>
      <c r="H38" s="172"/>
      <c r="I38" s="172"/>
      <c r="J38" s="172"/>
      <c r="K38" s="172"/>
      <c r="L38" s="172"/>
      <c r="M38" s="172"/>
      <c r="N38" s="172"/>
      <c r="O38" s="172"/>
      <c r="P38" s="172"/>
      <c r="Q38" s="172"/>
      <c r="R38" s="172"/>
      <c r="S38" s="172"/>
      <c r="T38" s="172"/>
      <c r="U38" s="172"/>
      <c r="V38" s="172"/>
      <c r="W38" s="172"/>
      <c r="X38" s="173" t="str">
        <f>REP.footer2</f>
        <v>Report Prepared by: Cathy James. Date of Issue: 14/08/23</v>
      </c>
    </row>
    <row r="39" spans="3:28" ht="16.2" customHeight="1" thickTop="1" x14ac:dyDescent="0.3"/>
    <row r="40" spans="3:28" ht="16.2" customHeight="1" x14ac:dyDescent="0.3">
      <c r="G40" s="240"/>
      <c r="H40" s="240"/>
      <c r="I40" s="240"/>
      <c r="J40" s="240"/>
      <c r="K40" s="240"/>
      <c r="L40" s="240"/>
      <c r="M40" s="240"/>
      <c r="N40" s="240"/>
      <c r="O40" s="240"/>
      <c r="P40" s="240"/>
      <c r="Q40" s="240"/>
      <c r="R40" s="240"/>
      <c r="S40" s="240"/>
      <c r="T40" s="240"/>
      <c r="U40" s="240"/>
      <c r="V40" s="240"/>
    </row>
    <row r="41" spans="3:28" ht="16.2" customHeight="1" x14ac:dyDescent="0.3">
      <c r="G41" s="240"/>
      <c r="H41" s="240"/>
      <c r="I41" s="240"/>
      <c r="J41" s="240"/>
      <c r="K41" s="240"/>
      <c r="L41" s="240"/>
      <c r="M41" s="240"/>
      <c r="N41" s="240"/>
      <c r="O41" s="240"/>
      <c r="P41" s="240"/>
      <c r="Q41" s="240"/>
      <c r="R41" s="240"/>
      <c r="S41" s="240"/>
      <c r="T41" s="240"/>
      <c r="U41" s="240"/>
      <c r="V41" s="240"/>
    </row>
    <row r="43" spans="3:28" ht="16.2" customHeight="1" x14ac:dyDescent="0.3">
      <c r="C43" s="621"/>
      <c r="D43" s="619"/>
      <c r="E43" s="635">
        <f>CHARTYEAR</f>
        <v>2022</v>
      </c>
      <c r="F43" s="624" t="str">
        <f t="array" ref="F43:Q43">{"Jan","Feb","Mar","Apr","May","Jun","Jul","Aug","Sep","Oct","Nov","Dec"}</f>
        <v>Jan</v>
      </c>
      <c r="G43" s="636" t="str">
        <v>Feb</v>
      </c>
      <c r="H43" s="624" t="str">
        <v>Mar</v>
      </c>
      <c r="I43" s="624" t="str">
        <v>Apr</v>
      </c>
      <c r="J43" s="624" t="str">
        <v>May</v>
      </c>
      <c r="K43" s="624" t="str">
        <v>Jun</v>
      </c>
      <c r="L43" s="624" t="str">
        <v>Jul</v>
      </c>
      <c r="M43" s="624" t="str">
        <v>Aug</v>
      </c>
      <c r="N43" s="624" t="str">
        <v>Sep</v>
      </c>
      <c r="O43" s="624" t="str">
        <v>Oct</v>
      </c>
      <c r="P43" s="624" t="str">
        <v>Nov</v>
      </c>
      <c r="Q43" s="624" t="str">
        <v>Dec</v>
      </c>
      <c r="R43" s="624"/>
      <c r="S43" s="624"/>
      <c r="T43" s="624"/>
      <c r="U43" s="624"/>
      <c r="V43" s="624"/>
      <c r="W43" s="621"/>
    </row>
    <row r="44" spans="3:28" ht="16.2" customHeight="1" x14ac:dyDescent="0.3">
      <c r="C44" s="621"/>
      <c r="D44" s="619"/>
      <c r="E44" s="637" t="str">
        <f t="array" ref="E44:E47">INDEX(TYPE.choices,{2;3;4;6})</f>
        <v>Serviced Accommodation</v>
      </c>
      <c r="F44" s="623">
        <f>INDEX(DATA!H:H,MATCH(CHARTYEAR&amp;"."&amp;"ECONOMIC IMPACT"&amp;"."&amp;$E44,DATA!$C:$C,0))*INDEX(REP.indexationfactors,(MATCH(CHARTYEAR,REP.yearsrange,0)))</f>
        <v>2068.5748130546076</v>
      </c>
      <c r="G44" s="623">
        <f>INDEX(DATA!I:I,MATCH(CHARTYEAR&amp;"."&amp;"ECONOMIC IMPACT"&amp;"."&amp;$E44,DATA!$C:$C,0))*INDEX(REP.indexationfactors,(MATCH(CHARTYEAR,REP.yearsrange,0)))</f>
        <v>4648.9224884416963</v>
      </c>
      <c r="H44" s="623">
        <f>INDEX(DATA!J:J,MATCH(CHARTYEAR&amp;"."&amp;"ECONOMIC IMPACT"&amp;"."&amp;$E44,DATA!$C:$C,0))*INDEX(REP.indexationfactors,(MATCH(CHARTYEAR,REP.yearsrange,0)))</f>
        <v>8488.9290301817218</v>
      </c>
      <c r="I44" s="623">
        <f>INDEX(DATA!K:K,MATCH(CHARTYEAR&amp;"."&amp;"ECONOMIC IMPACT"&amp;"."&amp;$E44,DATA!$C:$C,0))*INDEX(REP.indexationfactors,(MATCH(CHARTYEAR,REP.yearsrange,0)))</f>
        <v>10006.866423473122</v>
      </c>
      <c r="J44" s="623">
        <f>INDEX(DATA!L:L,MATCH(CHARTYEAR&amp;"."&amp;"ECONOMIC IMPACT"&amp;"."&amp;$E44,DATA!$C:$C,0))*INDEX(REP.indexationfactors,(MATCH(CHARTYEAR,REP.yearsrange,0)))</f>
        <v>11945.095964703747</v>
      </c>
      <c r="K44" s="623">
        <f>INDEX(DATA!M:M,MATCH(CHARTYEAR&amp;"."&amp;"ECONOMIC IMPACT"&amp;"."&amp;$E44,DATA!$C:$C,0))*INDEX(REP.indexationfactors,(MATCH(CHARTYEAR,REP.yearsrange,0)))</f>
        <v>12566.800340973008</v>
      </c>
      <c r="L44" s="623">
        <f>INDEX(DATA!N:N,MATCH(CHARTYEAR&amp;"."&amp;"ECONOMIC IMPACT"&amp;"."&amp;$E44,DATA!$C:$C,0))*INDEX(REP.indexationfactors,(MATCH(CHARTYEAR,REP.yearsrange,0)))</f>
        <v>24213.375235050167</v>
      </c>
      <c r="M44" s="623">
        <f>INDEX(DATA!O:O,MATCH(CHARTYEAR&amp;"."&amp;"ECONOMIC IMPACT"&amp;"."&amp;$E44,DATA!$C:$C,0))*INDEX(REP.indexationfactors,(MATCH(CHARTYEAR,REP.yearsrange,0)))</f>
        <v>24918.17747379289</v>
      </c>
      <c r="N44" s="623">
        <f>INDEX(DATA!P:P,MATCH(CHARTYEAR&amp;"."&amp;"ECONOMIC IMPACT"&amp;"."&amp;$E44,DATA!$C:$C,0))*INDEX(REP.indexationfactors,(MATCH(CHARTYEAR,REP.yearsrange,0)))</f>
        <v>16167.127395296584</v>
      </c>
      <c r="O44" s="623">
        <f>INDEX(DATA!Q:Q,MATCH(CHARTYEAR&amp;"."&amp;"ECONOMIC IMPACT"&amp;"."&amp;$E44,DATA!$C:$C,0))*INDEX(REP.indexationfactors,(MATCH(CHARTYEAR,REP.yearsrange,0)))</f>
        <v>12359.954952189451</v>
      </c>
      <c r="P44" s="623">
        <f>INDEX(DATA!R:R,MATCH(CHARTYEAR&amp;"."&amp;"ECONOMIC IMPACT"&amp;"."&amp;$E44,DATA!$C:$C,0))*INDEX(REP.indexationfactors,(MATCH(CHARTYEAR,REP.yearsrange,0)))</f>
        <v>8517.2060413507825</v>
      </c>
      <c r="Q44" s="623">
        <f>INDEX(DATA!S:S,MATCH(CHARTYEAR&amp;"."&amp;"ECONOMIC IMPACT"&amp;"."&amp;$E44,DATA!$C:$C,0))*INDEX(REP.indexationfactors,(MATCH(CHARTYEAR,REP.yearsrange,0)))</f>
        <v>6362.8327516727932</v>
      </c>
      <c r="R44" s="623"/>
      <c r="S44" s="624"/>
      <c r="T44" s="624"/>
      <c r="U44" s="625"/>
      <c r="V44" s="625"/>
      <c r="W44" s="621"/>
    </row>
    <row r="45" spans="3:28" ht="16.2" customHeight="1" x14ac:dyDescent="0.3">
      <c r="C45" s="621"/>
      <c r="D45" s="619"/>
      <c r="E45" s="637" t="str">
        <v>Non-Serviced Accommodation</v>
      </c>
      <c r="F45" s="623">
        <f>INDEX(DATA!H:H,MATCH(CHARTYEAR&amp;"."&amp;"ECONOMIC IMPACT"&amp;"."&amp;$E45,DATA!$C:$C,0))*INDEX(REP.indexationfactors,(MATCH(CHARTYEAR,REP.yearsrange,0)))</f>
        <v>43891.049686025457</v>
      </c>
      <c r="G45" s="623">
        <f>INDEX(DATA!I:I,MATCH(CHARTYEAR&amp;"."&amp;"ECONOMIC IMPACT"&amp;"."&amp;$E45,DATA!$C:$C,0))*INDEX(REP.indexationfactors,(MATCH(CHARTYEAR,REP.yearsrange,0)))</f>
        <v>49967.409705116763</v>
      </c>
      <c r="H45" s="623">
        <f>INDEX(DATA!J:J,MATCH(CHARTYEAR&amp;"."&amp;"ECONOMIC IMPACT"&amp;"."&amp;$E45,DATA!$C:$C,0))*INDEX(REP.indexationfactors,(MATCH(CHARTYEAR,REP.yearsrange,0)))</f>
        <v>109790.9597382369</v>
      </c>
      <c r="I45" s="623">
        <f>INDEX(DATA!K:K,MATCH(CHARTYEAR&amp;"."&amp;"ECONOMIC IMPACT"&amp;"."&amp;$E45,DATA!$C:$C,0))*INDEX(REP.indexationfactors,(MATCH(CHARTYEAR,REP.yearsrange,0)))</f>
        <v>89878.393246937267</v>
      </c>
      <c r="J45" s="623">
        <f>INDEX(DATA!L:L,MATCH(CHARTYEAR&amp;"."&amp;"ECONOMIC IMPACT"&amp;"."&amp;$E45,DATA!$C:$C,0))*INDEX(REP.indexationfactors,(MATCH(CHARTYEAR,REP.yearsrange,0)))</f>
        <v>109105.74058250024</v>
      </c>
      <c r="K45" s="623">
        <f>INDEX(DATA!M:M,MATCH(CHARTYEAR&amp;"."&amp;"ECONOMIC IMPACT"&amp;"."&amp;$E45,DATA!$C:$C,0))*INDEX(REP.indexationfactors,(MATCH(CHARTYEAR,REP.yearsrange,0)))</f>
        <v>117216.66812190303</v>
      </c>
      <c r="L45" s="623">
        <f>INDEX(DATA!N:N,MATCH(CHARTYEAR&amp;"."&amp;"ECONOMIC IMPACT"&amp;"."&amp;$E45,DATA!$C:$C,0))*INDEX(REP.indexationfactors,(MATCH(CHARTYEAR,REP.yearsrange,0)))</f>
        <v>144431.56965278054</v>
      </c>
      <c r="M45" s="623">
        <f>INDEX(DATA!O:O,MATCH(CHARTYEAR&amp;"."&amp;"ECONOMIC IMPACT"&amp;"."&amp;$E45,DATA!$C:$C,0))*INDEX(REP.indexationfactors,(MATCH(CHARTYEAR,REP.yearsrange,0)))</f>
        <v>156294.66025827598</v>
      </c>
      <c r="N45" s="623">
        <f>INDEX(DATA!P:P,MATCH(CHARTYEAR&amp;"."&amp;"ECONOMIC IMPACT"&amp;"."&amp;$E45,DATA!$C:$C,0))*INDEX(REP.indexationfactors,(MATCH(CHARTYEAR,REP.yearsrange,0)))</f>
        <v>124877.15690873298</v>
      </c>
      <c r="O45" s="623">
        <f>INDEX(DATA!Q:Q,MATCH(CHARTYEAR&amp;"."&amp;"ECONOMIC IMPACT"&amp;"."&amp;$E45,DATA!$C:$C,0))*INDEX(REP.indexationfactors,(MATCH(CHARTYEAR,REP.yearsrange,0)))</f>
        <v>100506.96511342507</v>
      </c>
      <c r="P45" s="623">
        <f>INDEX(DATA!R:R,MATCH(CHARTYEAR&amp;"."&amp;"ECONOMIC IMPACT"&amp;"."&amp;$E45,DATA!$C:$C,0))*INDEX(REP.indexationfactors,(MATCH(CHARTYEAR,REP.yearsrange,0)))</f>
        <v>59225.445287944836</v>
      </c>
      <c r="Q45" s="623">
        <f>INDEX(DATA!S:S,MATCH(CHARTYEAR&amp;"."&amp;"ECONOMIC IMPACT"&amp;"."&amp;$E45,DATA!$C:$C,0))*INDEX(REP.indexationfactors,(MATCH(CHARTYEAR,REP.yearsrange,0)))</f>
        <v>52777.48605782925</v>
      </c>
      <c r="R45" s="623"/>
      <c r="S45" s="624"/>
      <c r="T45" s="624"/>
      <c r="U45" s="625"/>
      <c r="V45" s="625"/>
      <c r="W45" s="621"/>
    </row>
    <row r="46" spans="3:28" ht="16.2" customHeight="1" x14ac:dyDescent="0.3">
      <c r="C46" s="621"/>
      <c r="D46" s="619"/>
      <c r="E46" s="638" t="str">
        <v>SFR</v>
      </c>
      <c r="F46" s="623">
        <f>INDEX(DATA!H:H,MATCH(CHARTYEAR&amp;"."&amp;"ECONOMIC IMPACT"&amp;"."&amp;$E46,DATA!$C:$C,0))*INDEX(REP.indexationfactors,(MATCH(CHARTYEAR,REP.yearsrange,0)))</f>
        <v>2355.2002520357928</v>
      </c>
      <c r="G46" s="623">
        <f>INDEX(DATA!I:I,MATCH(CHARTYEAR&amp;"."&amp;"ECONOMIC IMPACT"&amp;"."&amp;$E46,DATA!$C:$C,0))*INDEX(REP.indexationfactors,(MATCH(CHARTYEAR,REP.yearsrange,0)))</f>
        <v>791.34728468402636</v>
      </c>
      <c r="H46" s="623">
        <f>INDEX(DATA!J:J,MATCH(CHARTYEAR&amp;"."&amp;"ECONOMIC IMPACT"&amp;"."&amp;$E46,DATA!$C:$C,0))*INDEX(REP.indexationfactors,(MATCH(CHARTYEAR,REP.yearsrange,0)))</f>
        <v>900.20987411145882</v>
      </c>
      <c r="I46" s="623">
        <f>INDEX(DATA!K:K,MATCH(CHARTYEAR&amp;"."&amp;"ECONOMIC IMPACT"&amp;"."&amp;$E46,DATA!$C:$C,0))*INDEX(REP.indexationfactors,(MATCH(CHARTYEAR,REP.yearsrange,0)))</f>
        <v>2147.9426298566432</v>
      </c>
      <c r="J46" s="623">
        <f>INDEX(DATA!L:L,MATCH(CHARTYEAR&amp;"."&amp;"ECONOMIC IMPACT"&amp;"."&amp;$E46,DATA!$C:$C,0))*INDEX(REP.indexationfactors,(MATCH(CHARTYEAR,REP.yearsrange,0)))</f>
        <v>1381.7174811943319</v>
      </c>
      <c r="K46" s="623">
        <f>INDEX(DATA!M:M,MATCH(CHARTYEAR&amp;"."&amp;"ECONOMIC IMPACT"&amp;"."&amp;$E46,DATA!$C:$C,0))*INDEX(REP.indexationfactors,(MATCH(CHARTYEAR,REP.yearsrange,0)))</f>
        <v>1064.3620979000154</v>
      </c>
      <c r="L46" s="623">
        <f>INDEX(DATA!N:N,MATCH(CHARTYEAR&amp;"."&amp;"ECONOMIC IMPACT"&amp;"."&amp;$E46,DATA!$C:$C,0))*INDEX(REP.indexationfactors,(MATCH(CHARTYEAR,REP.yearsrange,0)))</f>
        <v>1727.1468514929149</v>
      </c>
      <c r="M46" s="623">
        <f>INDEX(DATA!O:O,MATCH(CHARTYEAR&amp;"."&amp;"ECONOMIC IMPACT"&amp;"."&amp;$E46,DATA!$C:$C,0))*INDEX(REP.indexationfactors,(MATCH(CHARTYEAR,REP.yearsrange,0)))</f>
        <v>1828.3471894337238</v>
      </c>
      <c r="N46" s="623">
        <f>INDEX(DATA!P:P,MATCH(CHARTYEAR&amp;"."&amp;"ECONOMIC IMPACT"&amp;"."&amp;$E46,DATA!$C:$C,0))*INDEX(REP.indexationfactors,(MATCH(CHARTYEAR,REP.yearsrange,0)))</f>
        <v>941.74723251202954</v>
      </c>
      <c r="O46" s="623">
        <f>INDEX(DATA!Q:Q,MATCH(CHARTYEAR&amp;"."&amp;"ECONOMIC IMPACT"&amp;"."&amp;$E46,DATA!$C:$C,0))*INDEX(REP.indexationfactors,(MATCH(CHARTYEAR,REP.yearsrange,0)))</f>
        <v>940.82399401323153</v>
      </c>
      <c r="P46" s="623">
        <f>INDEX(DATA!R:R,MATCH(CHARTYEAR&amp;"."&amp;"ECONOMIC IMPACT"&amp;"."&amp;$E46,DATA!$C:$C,0))*INDEX(REP.indexationfactors,(MATCH(CHARTYEAR,REP.yearsrange,0)))</f>
        <v>733.09533178367451</v>
      </c>
      <c r="Q46" s="623">
        <f>INDEX(DATA!S:S,MATCH(CHARTYEAR&amp;"."&amp;"ECONOMIC IMPACT"&amp;"."&amp;$E46,DATA!$C:$C,0))*INDEX(REP.indexationfactors,(MATCH(CHARTYEAR,REP.yearsrange,0)))</f>
        <v>2122.8204938349281</v>
      </c>
      <c r="R46" s="623"/>
      <c r="S46" s="624"/>
      <c r="T46" s="624"/>
      <c r="U46" s="626"/>
      <c r="V46" s="626"/>
      <c r="W46" s="621"/>
    </row>
    <row r="47" spans="3:28" ht="16.2" customHeight="1" x14ac:dyDescent="0.3">
      <c r="C47" s="621"/>
      <c r="D47" s="619"/>
      <c r="E47" s="637" t="str">
        <v>Day Visitor</v>
      </c>
      <c r="F47" s="623">
        <f>INDEX(DATA!H:H,MATCH(CHARTYEAR&amp;"."&amp;"ECONOMIC IMPACT"&amp;"."&amp;$E47,DATA!$C:$C,0))*INDEX(REP.indexationfactors,(MATCH(CHARTYEAR,REP.yearsrange,0)))</f>
        <v>2665.2560269332812</v>
      </c>
      <c r="G47" s="623">
        <f>INDEX(DATA!I:I,MATCH(CHARTYEAR&amp;"."&amp;"ECONOMIC IMPACT"&amp;"."&amp;$E47,DATA!$C:$C,0))*INDEX(REP.indexationfactors,(MATCH(CHARTYEAR,REP.yearsrange,0)))</f>
        <v>4505.9851372673456</v>
      </c>
      <c r="H47" s="623">
        <f>INDEX(DATA!J:J,MATCH(CHARTYEAR&amp;"."&amp;"ECONOMIC IMPACT"&amp;"."&amp;$E47,DATA!$C:$C,0))*INDEX(REP.indexationfactors,(MATCH(CHARTYEAR,REP.yearsrange,0)))</f>
        <v>16523.111160631266</v>
      </c>
      <c r="I47" s="623">
        <f>INDEX(DATA!K:K,MATCH(CHARTYEAR&amp;"."&amp;"ECONOMIC IMPACT"&amp;"."&amp;$E47,DATA!$C:$C,0))*INDEX(REP.indexationfactors,(MATCH(CHARTYEAR,REP.yearsrange,0)))</f>
        <v>24422.808876374515</v>
      </c>
      <c r="J47" s="623">
        <f>INDEX(DATA!L:L,MATCH(CHARTYEAR&amp;"."&amp;"ECONOMIC IMPACT"&amp;"."&amp;$E47,DATA!$C:$C,0))*INDEX(REP.indexationfactors,(MATCH(CHARTYEAR,REP.yearsrange,0)))</f>
        <v>22646.920225161681</v>
      </c>
      <c r="K47" s="623">
        <f>INDEX(DATA!M:M,MATCH(CHARTYEAR&amp;"."&amp;"ECONOMIC IMPACT"&amp;"."&amp;$E47,DATA!$C:$C,0))*INDEX(REP.indexationfactors,(MATCH(CHARTYEAR,REP.yearsrange,0)))</f>
        <v>31947.801307056921</v>
      </c>
      <c r="L47" s="623">
        <f>INDEX(DATA!N:N,MATCH(CHARTYEAR&amp;"."&amp;"ECONOMIC IMPACT"&amp;"."&amp;$E47,DATA!$C:$C,0))*INDEX(REP.indexationfactors,(MATCH(CHARTYEAR,REP.yearsrange,0)))</f>
        <v>27352.472996822748</v>
      </c>
      <c r="M47" s="623">
        <f>INDEX(DATA!O:O,MATCH(CHARTYEAR&amp;"."&amp;"ECONOMIC IMPACT"&amp;"."&amp;$E47,DATA!$C:$C,0))*INDEX(REP.indexationfactors,(MATCH(CHARTYEAR,REP.yearsrange,0)))</f>
        <v>38734.274518286744</v>
      </c>
      <c r="N47" s="623">
        <f>INDEX(DATA!P:P,MATCH(CHARTYEAR&amp;"."&amp;"ECONOMIC IMPACT"&amp;"."&amp;$E47,DATA!$C:$C,0))*INDEX(REP.indexationfactors,(MATCH(CHARTYEAR,REP.yearsrange,0)))</f>
        <v>16171.038014155161</v>
      </c>
      <c r="O47" s="623">
        <f>INDEX(DATA!Q:Q,MATCH(CHARTYEAR&amp;"."&amp;"ECONOMIC IMPACT"&amp;"."&amp;$E47,DATA!$C:$C,0))*INDEX(REP.indexationfactors,(MATCH(CHARTYEAR,REP.yearsrange,0)))</f>
        <v>13243.268601652078</v>
      </c>
      <c r="P47" s="623">
        <f>INDEX(DATA!R:R,MATCH(CHARTYEAR&amp;"."&amp;"ECONOMIC IMPACT"&amp;"."&amp;$E47,DATA!$C:$C,0))*INDEX(REP.indexationfactors,(MATCH(CHARTYEAR,REP.yearsrange,0)))</f>
        <v>4619.647720029312</v>
      </c>
      <c r="Q47" s="623">
        <f>INDEX(DATA!S:S,MATCH(CHARTYEAR&amp;"."&amp;"ECONOMIC IMPACT"&amp;"."&amp;$E47,DATA!$C:$C,0))*INDEX(REP.indexationfactors,(MATCH(CHARTYEAR,REP.yearsrange,0)))</f>
        <v>3446.658408382893</v>
      </c>
      <c r="R47" s="623"/>
      <c r="S47" s="627"/>
      <c r="T47" s="628"/>
      <c r="U47" s="627"/>
      <c r="V47" s="627"/>
      <c r="W47" s="621"/>
    </row>
    <row r="48" spans="3:28" ht="16.2" customHeight="1" x14ac:dyDescent="0.3">
      <c r="C48" s="621"/>
      <c r="D48" s="619"/>
      <c r="E48" s="637" t="str">
        <f t="array" ref="E48:E51">INDEX(TYPE.choices,{2;3;4;6})</f>
        <v>Serviced Accommodation</v>
      </c>
      <c r="F48" s="623">
        <f>INDEX(DATA!H:H,MATCH(CHARTYEAR&amp;"."&amp;"VISITOR NUMBERS"&amp;"."&amp;$E48,DATA!$C:$C,0))</f>
        <v>13.479031487465193</v>
      </c>
      <c r="G48" s="623">
        <f>INDEX(DATA!I:I,MATCH(CHARTYEAR&amp;"."&amp;"VISITOR NUMBERS"&amp;"."&amp;$E48,DATA!$C:$C,0))</f>
        <v>29.426035474521576</v>
      </c>
      <c r="H48" s="623">
        <f>INDEX(DATA!J:J,MATCH(CHARTYEAR&amp;"."&amp;"VISITOR NUMBERS"&amp;"."&amp;$E48,DATA!$C:$C,0))</f>
        <v>40.543097767738665</v>
      </c>
      <c r="I48" s="623">
        <f>INDEX(DATA!K:K,MATCH(CHARTYEAR&amp;"."&amp;"VISITOR NUMBERS"&amp;"."&amp;$E48,DATA!$C:$C,0))</f>
        <v>54.009610358888224</v>
      </c>
      <c r="J48" s="623">
        <f>INDEX(DATA!L:L,MATCH(CHARTYEAR&amp;"."&amp;"VISITOR NUMBERS"&amp;"."&amp;$E48,DATA!$C:$C,0))</f>
        <v>61.556811208551778</v>
      </c>
      <c r="K48" s="623">
        <f>INDEX(DATA!M:M,MATCH(CHARTYEAR&amp;"."&amp;"VISITOR NUMBERS"&amp;"."&amp;$E48,DATA!$C:$C,0))</f>
        <v>69.707504505213763</v>
      </c>
      <c r="L48" s="623">
        <f>INDEX(DATA!N:N,MATCH(CHARTYEAR&amp;"."&amp;"VISITOR NUMBERS"&amp;"."&amp;$E48,DATA!$C:$C,0))</f>
        <v>96.342172512145552</v>
      </c>
      <c r="M48" s="623">
        <f>INDEX(DATA!O:O,MATCH(CHARTYEAR&amp;"."&amp;"VISITOR NUMBERS"&amp;"."&amp;$E48,DATA!$C:$C,0))</f>
        <v>98.461112321109113</v>
      </c>
      <c r="N48" s="623">
        <f>INDEX(DATA!P:P,MATCH(CHARTYEAR&amp;"."&amp;"VISITOR NUMBERS"&amp;"."&amp;$E48,DATA!$C:$C,0))</f>
        <v>57.114742528830931</v>
      </c>
      <c r="O48" s="623">
        <f>INDEX(DATA!Q:Q,MATCH(CHARTYEAR&amp;"."&amp;"VISITOR NUMBERS"&amp;"."&amp;$E48,DATA!$C:$C,0))</f>
        <v>69.083171319025652</v>
      </c>
      <c r="P48" s="623">
        <f>INDEX(DATA!R:R,MATCH(CHARTYEAR&amp;"."&amp;"VISITOR NUMBERS"&amp;"."&amp;$E48,DATA!$C:$C,0))</f>
        <v>49.174261662196216</v>
      </c>
      <c r="Q48" s="623">
        <f>INDEX(DATA!S:S,MATCH(CHARTYEAR&amp;"."&amp;"VISITOR NUMBERS"&amp;"."&amp;$E48,DATA!$C:$C,0))</f>
        <v>37.712107957250055</v>
      </c>
      <c r="R48" s="623"/>
      <c r="S48" s="627"/>
      <c r="T48" s="628"/>
      <c r="U48" s="627"/>
      <c r="V48" s="627"/>
      <c r="W48" s="621"/>
    </row>
    <row r="49" spans="3:23" ht="16.2" customHeight="1" x14ac:dyDescent="0.3">
      <c r="C49" s="621"/>
      <c r="D49" s="619"/>
      <c r="E49" s="637" t="str">
        <v>Non-Serviced Accommodation</v>
      </c>
      <c r="F49" s="623">
        <f>INDEX(DATA!H:H,MATCH(CHARTYEAR&amp;"."&amp;"VISITOR NUMBERS"&amp;"."&amp;$E49,DATA!$C:$C,0))</f>
        <v>200.99516360151932</v>
      </c>
      <c r="G49" s="623">
        <f>INDEX(DATA!I:I,MATCH(CHARTYEAR&amp;"."&amp;"VISITOR NUMBERS"&amp;"."&amp;$E49,DATA!$C:$C,0))</f>
        <v>190.02211401925135</v>
      </c>
      <c r="H49" s="623">
        <f>INDEX(DATA!J:J,MATCH(CHARTYEAR&amp;"."&amp;"VISITOR NUMBERS"&amp;"."&amp;$E49,DATA!$C:$C,0))</f>
        <v>390.29598881522105</v>
      </c>
      <c r="I49" s="623">
        <f>INDEX(DATA!K:K,MATCH(CHARTYEAR&amp;"."&amp;"VISITOR NUMBERS"&amp;"."&amp;$E49,DATA!$C:$C,0))</f>
        <v>253.28635790881773</v>
      </c>
      <c r="J49" s="623">
        <f>INDEX(DATA!L:L,MATCH(CHARTYEAR&amp;"."&amp;"VISITOR NUMBERS"&amp;"."&amp;$E49,DATA!$C:$C,0))</f>
        <v>289.22735022676324</v>
      </c>
      <c r="K49" s="623">
        <f>INDEX(DATA!M:M,MATCH(CHARTYEAR&amp;"."&amp;"VISITOR NUMBERS"&amp;"."&amp;$E49,DATA!$C:$C,0))</f>
        <v>306.81682857366621</v>
      </c>
      <c r="L49" s="623">
        <f>INDEX(DATA!N:N,MATCH(CHARTYEAR&amp;"."&amp;"VISITOR NUMBERS"&amp;"."&amp;$E49,DATA!$C:$C,0))</f>
        <v>347.07649879611813</v>
      </c>
      <c r="M49" s="623">
        <f>INDEX(DATA!O:O,MATCH(CHARTYEAR&amp;"."&amp;"VISITOR NUMBERS"&amp;"."&amp;$E49,DATA!$C:$C,0))</f>
        <v>349.40917067966456</v>
      </c>
      <c r="N49" s="623">
        <f>INDEX(DATA!P:P,MATCH(CHARTYEAR&amp;"."&amp;"VISITOR NUMBERS"&amp;"."&amp;$E49,DATA!$C:$C,0))</f>
        <v>296.63018493025965</v>
      </c>
      <c r="O49" s="623">
        <f>INDEX(DATA!Q:Q,MATCH(CHARTYEAR&amp;"."&amp;"VISITOR NUMBERS"&amp;"."&amp;$E49,DATA!$C:$C,0))</f>
        <v>265.4223382586872</v>
      </c>
      <c r="P49" s="623">
        <f>INDEX(DATA!R:R,MATCH(CHARTYEAR&amp;"."&amp;"VISITOR NUMBERS"&amp;"."&amp;$E49,DATA!$C:$C,0))</f>
        <v>215.47669959312333</v>
      </c>
      <c r="Q49" s="623">
        <f>INDEX(DATA!S:S,MATCH(CHARTYEAR&amp;"."&amp;"VISITOR NUMBERS"&amp;"."&amp;$E49,DATA!$C:$C,0))</f>
        <v>151.40581383226302</v>
      </c>
      <c r="R49" s="623"/>
      <c r="S49" s="627"/>
      <c r="T49" s="628"/>
      <c r="U49" s="627"/>
      <c r="V49" s="627"/>
      <c r="W49" s="621"/>
    </row>
    <row r="50" spans="3:23" ht="16.2" customHeight="1" x14ac:dyDescent="0.3">
      <c r="C50" s="621"/>
      <c r="D50" s="619"/>
      <c r="E50" s="638" t="str">
        <v>SFR</v>
      </c>
      <c r="F50" s="623">
        <f>INDEX(DATA!H:H,MATCH(CHARTYEAR&amp;"."&amp;"VISITOR NUMBERS"&amp;"."&amp;$E50,DATA!$C:$C,0))</f>
        <v>23.946545454545451</v>
      </c>
      <c r="G50" s="623">
        <f>INDEX(DATA!I:I,MATCH(CHARTYEAR&amp;"."&amp;"VISITOR NUMBERS"&amp;"."&amp;$E50,DATA!$C:$C,0))</f>
        <v>9.5786181818181806</v>
      </c>
      <c r="H50" s="623">
        <f>INDEX(DATA!J:J,MATCH(CHARTYEAR&amp;"."&amp;"VISITOR NUMBERS"&amp;"."&amp;$E50,DATA!$C:$C,0))</f>
        <v>10.642909090909091</v>
      </c>
      <c r="I50" s="623">
        <f>INDEX(DATA!K:K,MATCH(CHARTYEAR&amp;"."&amp;"VISITOR NUMBERS"&amp;"."&amp;$E50,DATA!$C:$C,0))</f>
        <v>20.221527272727268</v>
      </c>
      <c r="J50" s="623">
        <f>INDEX(DATA!L:L,MATCH(CHARTYEAR&amp;"."&amp;"VISITOR NUMBERS"&amp;"."&amp;$E50,DATA!$C:$C,0))</f>
        <v>15.964363636363636</v>
      </c>
      <c r="K50" s="623">
        <f>INDEX(DATA!M:M,MATCH(CHARTYEAR&amp;"."&amp;"VISITOR NUMBERS"&amp;"."&amp;$E50,DATA!$C:$C,0))</f>
        <v>12.883241454545454</v>
      </c>
      <c r="L50" s="623">
        <f>INDEX(DATA!N:N,MATCH(CHARTYEAR&amp;"."&amp;"VISITOR NUMBERS"&amp;"."&amp;$E50,DATA!$C:$C,0))</f>
        <v>17.5608</v>
      </c>
      <c r="M50" s="623">
        <f>INDEX(DATA!O:O,MATCH(CHARTYEAR&amp;"."&amp;"VISITOR NUMBERS"&amp;"."&amp;$E50,DATA!$C:$C,0))</f>
        <v>17.874765818181814</v>
      </c>
      <c r="N50" s="623">
        <f>INDEX(DATA!P:P,MATCH(CHARTYEAR&amp;"."&amp;"VISITOR NUMBERS"&amp;"."&amp;$E50,DATA!$C:$C,0))</f>
        <v>11.031375272727274</v>
      </c>
      <c r="O50" s="623">
        <f>INDEX(DATA!Q:Q,MATCH(CHARTYEAR&amp;"."&amp;"VISITOR NUMBERS"&amp;"."&amp;$E50,DATA!$C:$C,0))</f>
        <v>11.175054545454545</v>
      </c>
      <c r="P50" s="623">
        <f>INDEX(DATA!R:R,MATCH(CHARTYEAR&amp;"."&amp;"VISITOR NUMBERS"&amp;"."&amp;$E50,DATA!$C:$C,0))</f>
        <v>9.1795090909090913</v>
      </c>
      <c r="Q50" s="623">
        <f>INDEX(DATA!S:S,MATCH(CHARTYEAR&amp;"."&amp;"VISITOR NUMBERS"&amp;"."&amp;$E50,DATA!$C:$C,0))</f>
        <v>20.753672727272725</v>
      </c>
      <c r="R50" s="623"/>
      <c r="S50" s="629"/>
      <c r="T50" s="628"/>
      <c r="U50" s="629"/>
      <c r="V50" s="629"/>
      <c r="W50" s="621"/>
    </row>
    <row r="51" spans="3:23" ht="16.2" customHeight="1" x14ac:dyDescent="0.3">
      <c r="C51" s="621"/>
      <c r="D51" s="619"/>
      <c r="E51" s="637" t="str">
        <v>Day Visitor</v>
      </c>
      <c r="F51" s="623">
        <f>INDEX(DATA!H:H,MATCH(CHARTYEAR&amp;"."&amp;"VISITOR NUMBERS"&amp;"."&amp;$E51,DATA!$C:$C,0))</f>
        <v>48.695462239128972</v>
      </c>
      <c r="G51" s="623">
        <f>INDEX(DATA!I:I,MATCH(CHARTYEAR&amp;"."&amp;"VISITOR NUMBERS"&amp;"."&amp;$E51,DATA!$C:$C,0))</f>
        <v>82.326435766229338</v>
      </c>
      <c r="H51" s="623">
        <f>INDEX(DATA!J:J,MATCH(CHARTYEAR&amp;"."&amp;"VISITOR NUMBERS"&amp;"."&amp;$E51,DATA!$C:$C,0))</f>
        <v>301.88489490866897</v>
      </c>
      <c r="I51" s="623">
        <f>INDEX(DATA!K:K,MATCH(CHARTYEAR&amp;"."&amp;"VISITOR NUMBERS"&amp;"."&amp;$E51,DATA!$C:$C,0))</f>
        <v>446.21603155377841</v>
      </c>
      <c r="J51" s="623">
        <f>INDEX(DATA!L:L,MATCH(CHARTYEAR&amp;"."&amp;"VISITOR NUMBERS"&amp;"."&amp;$E51,DATA!$C:$C,0))</f>
        <v>413.76972325088121</v>
      </c>
      <c r="K51" s="623">
        <f>INDEX(DATA!M:M,MATCH(CHARTYEAR&amp;"."&amp;"VISITOR NUMBERS"&amp;"."&amp;$E51,DATA!$C:$C,0))</f>
        <v>583.70112906602549</v>
      </c>
      <c r="L51" s="623">
        <f>INDEX(DATA!N:N,MATCH(CHARTYEAR&amp;"."&amp;"VISITOR NUMBERS"&amp;"."&amp;$E51,DATA!$C:$C,0))</f>
        <v>499.74235214323716</v>
      </c>
      <c r="M51" s="623">
        <f>INDEX(DATA!O:O,MATCH(CHARTYEAR&amp;"."&amp;"VISITOR NUMBERS"&amp;"."&amp;$E51,DATA!$C:$C,0))</f>
        <v>707.69313833447507</v>
      </c>
      <c r="N51" s="623">
        <f>INDEX(DATA!P:P,MATCH(CHARTYEAR&amp;"."&amp;"VISITOR NUMBERS"&amp;"."&amp;$E51,DATA!$C:$C,0))</f>
        <v>295.45235543163977</v>
      </c>
      <c r="O51" s="623">
        <f>INDEX(DATA!Q:Q,MATCH(CHARTYEAR&amp;"."&amp;"VISITOR NUMBERS"&amp;"."&amp;$E51,DATA!$C:$C,0))</f>
        <v>241.9606520340248</v>
      </c>
      <c r="P51" s="623">
        <f>INDEX(DATA!R:R,MATCH(CHARTYEAR&amp;"."&amp;"VISITOR NUMBERS"&amp;"."&amp;$E51,DATA!$C:$C,0))</f>
        <v>84.403103805230359</v>
      </c>
      <c r="Q51" s="623">
        <f>INDEX(DATA!S:S,MATCH(CHARTYEAR&amp;"."&amp;"VISITOR NUMBERS"&amp;"."&amp;$E51,DATA!$C:$C,0))</f>
        <v>62.972045717387637</v>
      </c>
      <c r="R51" s="623"/>
      <c r="S51" s="629"/>
      <c r="T51" s="627"/>
      <c r="U51" s="629"/>
      <c r="V51" s="629"/>
      <c r="W51" s="621"/>
    </row>
    <row r="52" spans="3:23" ht="16.2" customHeight="1" x14ac:dyDescent="0.3">
      <c r="C52" s="621"/>
      <c r="D52" s="619"/>
      <c r="E52" s="637" t="str">
        <f t="array" ref="E52:E55">INDEX(TYPE.choices,{2;3;4;6})</f>
        <v>Serviced Accommodation</v>
      </c>
      <c r="F52" s="623">
        <f>INDEX(DATA!H:H,MATCH(CHARTYEAR&amp;"."&amp;"VISITOR DAYS"&amp;"."&amp;$E52,DATA!$C:$C,0))</f>
        <v>20.434821961091778</v>
      </c>
      <c r="G52" s="623">
        <f>INDEX(DATA!I:I,MATCH(CHARTYEAR&amp;"."&amp;"VISITOR DAYS"&amp;"."&amp;$E52,DATA!$C:$C,0))</f>
        <v>45.26710530254914</v>
      </c>
      <c r="H52" s="623">
        <f>INDEX(DATA!J:J,MATCH(CHARTYEAR&amp;"."&amp;"VISITOR DAYS"&amp;"."&amp;$E52,DATA!$C:$C,0))</f>
        <v>82.942713906765363</v>
      </c>
      <c r="I52" s="623">
        <f>INDEX(DATA!K:K,MATCH(CHARTYEAR&amp;"."&amp;"VISITOR DAYS"&amp;"."&amp;$E52,DATA!$C:$C,0))</f>
        <v>97.932856262654198</v>
      </c>
      <c r="J52" s="623">
        <f>INDEX(DATA!L:L,MATCH(CHARTYEAR&amp;"."&amp;"VISITOR DAYS"&amp;"."&amp;$E52,DATA!$C:$C,0))</f>
        <v>115.90328400301374</v>
      </c>
      <c r="K52" s="623">
        <f>INDEX(DATA!M:M,MATCH(CHARTYEAR&amp;"."&amp;"VISITOR DAYS"&amp;"."&amp;$E52,DATA!$C:$C,0))</f>
        <v>122.75776815730188</v>
      </c>
      <c r="L52" s="623">
        <f>INDEX(DATA!N:N,MATCH(CHARTYEAR&amp;"."&amp;"VISITOR DAYS"&amp;"."&amp;$E52,DATA!$C:$C,0))</f>
        <v>169.11046921254285</v>
      </c>
      <c r="M52" s="623">
        <f>INDEX(DATA!O:O,MATCH(CHARTYEAR&amp;"."&amp;"VISITOR DAYS"&amp;"."&amp;$E52,DATA!$C:$C,0))</f>
        <v>173.68434125131398</v>
      </c>
      <c r="N52" s="630">
        <f>INDEX(DATA!P:P,MATCH(CHARTYEAR&amp;"."&amp;"VISITOR DAYS"&amp;"."&amp;$E52,DATA!$C:$C,0))</f>
        <v>112.22546647241873</v>
      </c>
      <c r="O52" s="630">
        <f>INDEX(DATA!Q:Q,MATCH(CHARTYEAR&amp;"."&amp;"VISITOR DAYS"&amp;"."&amp;$E52,DATA!$C:$C,0))</f>
        <v>120.4434482403947</v>
      </c>
      <c r="P52" s="630">
        <f>INDEX(DATA!R:R,MATCH(CHARTYEAR&amp;"."&amp;"VISITOR DAYS"&amp;"."&amp;$E52,DATA!$C:$C,0))</f>
        <v>83.647259107278188</v>
      </c>
      <c r="Q52" s="630">
        <f>INDEX(DATA!S:S,MATCH(CHARTYEAR&amp;"."&amp;"VISITOR DAYS"&amp;"."&amp;$E52,DATA!$C:$C,0))</f>
        <v>62.182722747317825</v>
      </c>
      <c r="R52" s="625"/>
      <c r="S52" s="629"/>
      <c r="T52" s="627"/>
      <c r="U52" s="629"/>
      <c r="V52" s="629"/>
      <c r="W52" s="621"/>
    </row>
    <row r="53" spans="3:23" ht="16.2" customHeight="1" x14ac:dyDescent="0.3">
      <c r="C53" s="621"/>
      <c r="D53" s="619"/>
      <c r="E53" s="637" t="str">
        <v>Non-Serviced Accommodation</v>
      </c>
      <c r="F53" s="623">
        <f>INDEX(DATA!H:H,MATCH(CHARTYEAR&amp;"."&amp;"VISITOR DAYS"&amp;"."&amp;$E53,DATA!$C:$C,0))</f>
        <v>684.89864445846808</v>
      </c>
      <c r="G53" s="623">
        <f>INDEX(DATA!I:I,MATCH(CHARTYEAR&amp;"."&amp;"VISITOR DAYS"&amp;"."&amp;$E53,DATA!$C:$C,0))</f>
        <v>757.71328490276164</v>
      </c>
      <c r="H53" s="623">
        <f>INDEX(DATA!J:J,MATCH(CHARTYEAR&amp;"."&amp;"VISITOR DAYS"&amp;"."&amp;$E53,DATA!$C:$C,0))</f>
        <v>1829.7364289182833</v>
      </c>
      <c r="I53" s="623">
        <f>INDEX(DATA!K:K,MATCH(CHARTYEAR&amp;"."&amp;"VISITOR DAYS"&amp;"."&amp;$E53,DATA!$C:$C,0))</f>
        <v>1507.7025015043182</v>
      </c>
      <c r="J53" s="623">
        <f>INDEX(DATA!L:L,MATCH(CHARTYEAR&amp;"."&amp;"VISITOR DAYS"&amp;"."&amp;$E53,DATA!$C:$C,0))</f>
        <v>1872.8900679128724</v>
      </c>
      <c r="K53" s="623">
        <f>INDEX(DATA!M:M,MATCH(CHARTYEAR&amp;"."&amp;"VISITOR DAYS"&amp;"."&amp;$E53,DATA!$C:$C,0))</f>
        <v>2012.422556643726</v>
      </c>
      <c r="L53" s="623">
        <f>INDEX(DATA!N:N,MATCH(CHARTYEAR&amp;"."&amp;"VISITOR DAYS"&amp;"."&amp;$E53,DATA!$C:$C,0))</f>
        <v>2341.6726078822326</v>
      </c>
      <c r="M53" s="623">
        <f>INDEX(DATA!O:O,MATCH(CHARTYEAR&amp;"."&amp;"VISITOR DAYS"&amp;"."&amp;$E53,DATA!$C:$C,0))</f>
        <v>2539.9581732590786</v>
      </c>
      <c r="N53" s="630">
        <f>INDEX(DATA!P:P,MATCH(CHARTYEAR&amp;"."&amp;"VISITOR DAYS"&amp;"."&amp;$E53,DATA!$C:$C,0))</f>
        <v>1871.0118438487382</v>
      </c>
      <c r="O53" s="630">
        <f>INDEX(DATA!Q:Q,MATCH(CHARTYEAR&amp;"."&amp;"VISITOR DAYS"&amp;"."&amp;$E53,DATA!$C:$C,0))</f>
        <v>1691.8681215688857</v>
      </c>
      <c r="P53" s="630">
        <f>INDEX(DATA!R:R,MATCH(CHARTYEAR&amp;"."&amp;"VISITOR DAYS"&amp;"."&amp;$E53,DATA!$C:$C,0))</f>
        <v>905.14038360512427</v>
      </c>
      <c r="Q53" s="630">
        <f>INDEX(DATA!S:S,MATCH(CHARTYEAR&amp;"."&amp;"VISITOR DAYS"&amp;"."&amp;$E53,DATA!$C:$C,0))</f>
        <v>759.48875071994848</v>
      </c>
      <c r="R53" s="625"/>
      <c r="S53" s="629"/>
      <c r="T53" s="627"/>
      <c r="U53" s="629"/>
      <c r="V53" s="629"/>
      <c r="W53" s="621"/>
    </row>
    <row r="54" spans="3:23" ht="16.2" customHeight="1" x14ac:dyDescent="0.3">
      <c r="C54" s="621"/>
      <c r="D54" s="619"/>
      <c r="E54" s="638" t="str">
        <v>SFR</v>
      </c>
      <c r="F54" s="623">
        <f>INDEX(DATA!H:H,MATCH(CHARTYEAR&amp;"."&amp;"VISITOR DAYS"&amp;"."&amp;$E54,DATA!$C:$C,0))</f>
        <v>59.86636363636363</v>
      </c>
      <c r="G54" s="623">
        <f>INDEX(DATA!I:I,MATCH(CHARTYEAR&amp;"."&amp;"VISITOR DAYS"&amp;"."&amp;$E54,DATA!$C:$C,0))</f>
        <v>20.11509818181818</v>
      </c>
      <c r="H54" s="623">
        <f>INDEX(DATA!J:J,MATCH(CHARTYEAR&amp;"."&amp;"VISITOR DAYS"&amp;"."&amp;$E54,DATA!$C:$C,0))</f>
        <v>22.882254545454547</v>
      </c>
      <c r="I54" s="623">
        <f>INDEX(DATA!K:K,MATCH(CHARTYEAR&amp;"."&amp;"VISITOR DAYS"&amp;"."&amp;$E54,DATA!$C:$C,0))</f>
        <v>54.598123636363631</v>
      </c>
      <c r="J54" s="623">
        <f>INDEX(DATA!L:L,MATCH(CHARTYEAR&amp;"."&amp;"VISITOR DAYS"&amp;"."&amp;$E54,DATA!$C:$C,0))</f>
        <v>35.121600000000001</v>
      </c>
      <c r="K54" s="623">
        <f>INDEX(DATA!M:M,MATCH(CHARTYEAR&amp;"."&amp;"VISITOR DAYS"&amp;"."&amp;$E54,DATA!$C:$C,0))</f>
        <v>27.054807054545453</v>
      </c>
      <c r="L54" s="623">
        <f>INDEX(DATA!N:N,MATCH(CHARTYEAR&amp;"."&amp;"VISITOR DAYS"&amp;"."&amp;$E54,DATA!$C:$C,0))</f>
        <v>43.902000000000001</v>
      </c>
      <c r="M54" s="623">
        <f>INDEX(DATA!O:O,MATCH(CHARTYEAR&amp;"."&amp;"VISITOR DAYS"&amp;"."&amp;$E54,DATA!$C:$C,0))</f>
        <v>46.474391127272717</v>
      </c>
      <c r="N54" s="630">
        <f>INDEX(DATA!P:P,MATCH(CHARTYEAR&amp;"."&amp;"VISITOR DAYS"&amp;"."&amp;$E54,DATA!$C:$C,0))</f>
        <v>23.938084341818183</v>
      </c>
      <c r="O54" s="630">
        <f>INDEX(DATA!Q:Q,MATCH(CHARTYEAR&amp;"."&amp;"VISITOR DAYS"&amp;"."&amp;$E54,DATA!$C:$C,0))</f>
        <v>23.914616727272726</v>
      </c>
      <c r="P54" s="630">
        <f>INDEX(DATA!R:R,MATCH(CHARTYEAR&amp;"."&amp;"VISITOR DAYS"&amp;"."&amp;$E54,DATA!$C:$C,0))</f>
        <v>18.634403454545453</v>
      </c>
      <c r="Q54" s="630">
        <f>INDEX(DATA!S:S,MATCH(CHARTYEAR&amp;"."&amp;"VISITOR DAYS"&amp;"."&amp;$E54,DATA!$C:$C,0))</f>
        <v>53.959549090909093</v>
      </c>
      <c r="R54" s="625"/>
      <c r="S54" s="621"/>
      <c r="T54" s="621"/>
      <c r="U54" s="621"/>
      <c r="V54" s="621"/>
      <c r="W54" s="621"/>
    </row>
    <row r="55" spans="3:23" ht="16.2" customHeight="1" x14ac:dyDescent="0.3">
      <c r="C55" s="621"/>
      <c r="D55" s="619"/>
      <c r="E55" s="637" t="str">
        <v>Day Visitor</v>
      </c>
      <c r="F55" s="623">
        <f>INDEX(DATA!H:H,MATCH(CHARTYEAR&amp;"."&amp;"VISITOR DAYS"&amp;"."&amp;$E55,DATA!$C:$C,0))</f>
        <v>48.695462239128972</v>
      </c>
      <c r="G55" s="623">
        <f>INDEX(DATA!I:I,MATCH(CHARTYEAR&amp;"."&amp;"VISITOR DAYS"&amp;"."&amp;$E55,DATA!$C:$C,0))</f>
        <v>82.326435766229338</v>
      </c>
      <c r="H55" s="623">
        <f>INDEX(DATA!J:J,MATCH(CHARTYEAR&amp;"."&amp;"VISITOR DAYS"&amp;"."&amp;$E55,DATA!$C:$C,0))</f>
        <v>301.88489490866897</v>
      </c>
      <c r="I55" s="623">
        <f>INDEX(DATA!K:K,MATCH(CHARTYEAR&amp;"."&amp;"VISITOR DAYS"&amp;"."&amp;$E55,DATA!$C:$C,0))</f>
        <v>446.21603155377841</v>
      </c>
      <c r="J55" s="623">
        <f>INDEX(DATA!L:L,MATCH(CHARTYEAR&amp;"."&amp;"VISITOR DAYS"&amp;"."&amp;$E55,DATA!$C:$C,0))</f>
        <v>413.76972325088121</v>
      </c>
      <c r="K55" s="623">
        <f>INDEX(DATA!M:M,MATCH(CHARTYEAR&amp;"."&amp;"VISITOR DAYS"&amp;"."&amp;$E55,DATA!$C:$C,0))</f>
        <v>583.70112906602549</v>
      </c>
      <c r="L55" s="623">
        <f>INDEX(DATA!N:N,MATCH(CHARTYEAR&amp;"."&amp;"VISITOR DAYS"&amp;"."&amp;$E55,DATA!$C:$C,0))</f>
        <v>499.74235214323716</v>
      </c>
      <c r="M55" s="623">
        <f>INDEX(DATA!O:O,MATCH(CHARTYEAR&amp;"."&amp;"VISITOR DAYS"&amp;"."&amp;$E55,DATA!$C:$C,0))</f>
        <v>707.69313833447507</v>
      </c>
      <c r="N55" s="630">
        <f>INDEX(DATA!P:P,MATCH(CHARTYEAR&amp;"."&amp;"VISITOR DAYS"&amp;"."&amp;$E55,DATA!$C:$C,0))</f>
        <v>295.45235543163977</v>
      </c>
      <c r="O55" s="630">
        <f>INDEX(DATA!Q:Q,MATCH(CHARTYEAR&amp;"."&amp;"VISITOR DAYS"&amp;"."&amp;$E55,DATA!$C:$C,0))</f>
        <v>241.9606520340248</v>
      </c>
      <c r="P55" s="630">
        <f>INDEX(DATA!R:R,MATCH(CHARTYEAR&amp;"."&amp;"VISITOR DAYS"&amp;"."&amp;$E55,DATA!$C:$C,0))</f>
        <v>84.403103805230359</v>
      </c>
      <c r="Q55" s="630">
        <f>INDEX(DATA!S:S,MATCH(CHARTYEAR&amp;"."&amp;"VISITOR DAYS"&amp;"."&amp;$E55,DATA!$C:$C,0))</f>
        <v>62.972045717387637</v>
      </c>
      <c r="R55" s="625"/>
      <c r="S55" s="624"/>
      <c r="T55" s="624"/>
      <c r="U55" s="624"/>
      <c r="V55" s="624"/>
      <c r="W55" s="621"/>
    </row>
    <row r="56" spans="3:23" ht="16.2" customHeight="1" x14ac:dyDescent="0.3">
      <c r="C56" s="621"/>
      <c r="D56" s="619"/>
      <c r="E56" s="637" t="str">
        <f t="array" ref="E56:E59">INDEX(TYPE.choices,{2;3;4;6})</f>
        <v>Serviced Accommodation</v>
      </c>
      <c r="F56" s="631">
        <f>INDEX(DATA!H:H,MATCH(CHARTYEAR&amp;"."&amp;"EMPLOYMENT"&amp;"."&amp;$E56,DATA!$C:$C,0))</f>
        <v>1480.2393812599717</v>
      </c>
      <c r="G56" s="631">
        <f>INDEX(DATA!I:I,MATCH(CHARTYEAR&amp;"."&amp;"EMPLOYMENT"&amp;"."&amp;$E56,DATA!$C:$C,0))</f>
        <v>1639.2834387191192</v>
      </c>
      <c r="H56" s="631">
        <f>INDEX(DATA!J:J,MATCH(CHARTYEAR&amp;"."&amp;"EMPLOYMENT"&amp;"."&amp;$E56,DATA!$C:$C,0))</f>
        <v>1872.4086768262434</v>
      </c>
      <c r="I56" s="631">
        <f>INDEX(DATA!K:K,MATCH(CHARTYEAR&amp;"."&amp;"EMPLOYMENT"&amp;"."&amp;$E56,DATA!$C:$C,0))</f>
        <v>1951.5551420397396</v>
      </c>
      <c r="J56" s="631">
        <f>INDEX(DATA!L:L,MATCH(CHARTYEAR&amp;"."&amp;"EMPLOYMENT"&amp;"."&amp;$E56,DATA!$C:$C,0))</f>
        <v>2043.2435394976956</v>
      </c>
      <c r="K56" s="631">
        <f>INDEX(DATA!M:M,MATCH(CHARTYEAR&amp;"."&amp;"EMPLOYMENT"&amp;"."&amp;$E56,DATA!$C:$C,0))</f>
        <v>2071.3468620626918</v>
      </c>
      <c r="L56" s="631">
        <f>INDEX(DATA!N:N,MATCH(CHARTYEAR&amp;"."&amp;"EMPLOYMENT"&amp;"."&amp;$E56,DATA!$C:$C,0))</f>
        <v>2663.403232045609</v>
      </c>
      <c r="M56" s="631">
        <f>INDEX(DATA!O:O,MATCH(CHARTYEAR&amp;"."&amp;"EMPLOYMENT"&amp;"."&amp;$E56,DATA!$C:$C,0))</f>
        <v>2717.9008771830431</v>
      </c>
      <c r="N56" s="631">
        <f>INDEX(DATA!P:P,MATCH(CHARTYEAR&amp;"."&amp;"EMPLOYMENT"&amp;"."&amp;$E56,DATA!$C:$C,0))</f>
        <v>2021.8445061020368</v>
      </c>
      <c r="O56" s="631">
        <f>INDEX(DATA!Q:Q,MATCH(CHARTYEAR&amp;"."&amp;"EMPLOYMENT"&amp;"."&amp;$E56,DATA!$C:$C,0))</f>
        <v>2055.2311494676828</v>
      </c>
      <c r="P56" s="631">
        <f>INDEX(DATA!R:R,MATCH(CHARTYEAR&amp;"."&amp;"EMPLOYMENT"&amp;"."&amp;$E56,DATA!$C:$C,0))</f>
        <v>1826.2812658667544</v>
      </c>
      <c r="Q56" s="631">
        <f>INDEX(DATA!S:S,MATCH(CHARTYEAR&amp;"."&amp;"EMPLOYMENT"&amp;"."&amp;$E56,DATA!$C:$C,0))</f>
        <v>1727.5007124071728</v>
      </c>
      <c r="R56" s="625"/>
      <c r="S56" s="625"/>
      <c r="T56" s="625"/>
      <c r="U56" s="625"/>
      <c r="V56" s="621"/>
      <c r="W56" s="621"/>
    </row>
    <row r="57" spans="3:23" ht="16.2" customHeight="1" x14ac:dyDescent="0.3">
      <c r="C57" s="621"/>
      <c r="D57" s="619"/>
      <c r="E57" s="637" t="str">
        <v>Non-Serviced Accommodation</v>
      </c>
      <c r="F57" s="631">
        <f>INDEX(DATA!H:H,MATCH(CHARTYEAR&amp;"."&amp;"EMPLOYMENT"&amp;"."&amp;$E57,DATA!$C:$C,0))</f>
        <v>6527.0860471340657</v>
      </c>
      <c r="G57" s="631">
        <f>INDEX(DATA!I:I,MATCH(CHARTYEAR&amp;"."&amp;"EMPLOYMENT"&amp;"."&amp;$E57,DATA!$C:$C,0))</f>
        <v>8504.3958891795064</v>
      </c>
      <c r="H57" s="631">
        <f>INDEX(DATA!J:J,MATCH(CHARTYEAR&amp;"."&amp;"EMPLOYMENT"&amp;"."&amp;$E57,DATA!$C:$C,0))</f>
        <v>12328.208710334839</v>
      </c>
      <c r="I57" s="631">
        <f>INDEX(DATA!K:K,MATCH(CHARTYEAR&amp;"."&amp;"EMPLOYMENT"&amp;"."&amp;$E57,DATA!$C:$C,0))</f>
        <v>10293.565218769823</v>
      </c>
      <c r="J57" s="631">
        <f>INDEX(DATA!L:L,MATCH(CHARTYEAR&amp;"."&amp;"EMPLOYMENT"&amp;"."&amp;$E57,DATA!$C:$C,0))</f>
        <v>11839.952335848262</v>
      </c>
      <c r="K57" s="631">
        <f>INDEX(DATA!M:M,MATCH(CHARTYEAR&amp;"."&amp;"EMPLOYMENT"&amp;"."&amp;$E57,DATA!$C:$C,0))</f>
        <v>12503.859279850525</v>
      </c>
      <c r="L57" s="631">
        <f>INDEX(DATA!N:N,MATCH(CHARTYEAR&amp;"."&amp;"EMPLOYMENT"&amp;"."&amp;$E57,DATA!$C:$C,0))</f>
        <v>13594.334676025768</v>
      </c>
      <c r="M57" s="631">
        <f>INDEX(DATA!O:O,MATCH(CHARTYEAR&amp;"."&amp;"EMPLOYMENT"&amp;"."&amp;$E57,DATA!$C:$C,0))</f>
        <v>14459.979467213441</v>
      </c>
      <c r="N57" s="631">
        <f>INDEX(DATA!P:P,MATCH(CHARTYEAR&amp;"."&amp;"EMPLOYMENT"&amp;"."&amp;$E57,DATA!$C:$C,0))</f>
        <v>11832.097814329041</v>
      </c>
      <c r="O57" s="631">
        <f>INDEX(DATA!Q:Q,MATCH(CHARTYEAR&amp;"."&amp;"EMPLOYMENT"&amp;"."&amp;$E57,DATA!$C:$C,0))</f>
        <v>11152.063625523788</v>
      </c>
      <c r="P57" s="631">
        <f>INDEX(DATA!R:R,MATCH(CHARTYEAR&amp;"."&amp;"EMPLOYMENT"&amp;"."&amp;$E57,DATA!$C:$C,0))</f>
        <v>7376.4518195449982</v>
      </c>
      <c r="Q57" s="631">
        <f>INDEX(DATA!S:S,MATCH(CHARTYEAR&amp;"."&amp;"EMPLOYMENT"&amp;"."&amp;$E57,DATA!$C:$C,0))</f>
        <v>6704.2007208301766</v>
      </c>
      <c r="R57" s="632"/>
      <c r="S57" s="632"/>
      <c r="T57" s="632"/>
      <c r="U57" s="632"/>
      <c r="V57" s="621"/>
      <c r="W57" s="621"/>
    </row>
    <row r="58" spans="3:23" ht="16.2" customHeight="1" x14ac:dyDescent="0.3">
      <c r="C58" s="621"/>
      <c r="D58" s="619"/>
      <c r="E58" s="638" t="str">
        <v>SFR</v>
      </c>
      <c r="F58" s="631">
        <f>INDEX(DATA!H:H,MATCH(CHARTYEAR&amp;"."&amp;"EMPLOYMENT"&amp;"."&amp;$E58,DATA!$C:$C,0))</f>
        <v>234.95869632107483</v>
      </c>
      <c r="G58" s="631">
        <f>INDEX(DATA!I:I,MATCH(CHARTYEAR&amp;"."&amp;"EMPLOYMENT"&amp;"."&amp;$E58,DATA!$C:$C,0))</f>
        <v>78.94612196388114</v>
      </c>
      <c r="H58" s="631">
        <f>INDEX(DATA!J:J,MATCH(CHARTYEAR&amp;"."&amp;"EMPLOYMENT"&amp;"."&amp;$E58,DATA!$C:$C,0))</f>
        <v>89.806435038277485</v>
      </c>
      <c r="I58" s="631">
        <f>INDEX(DATA!K:K,MATCH(CHARTYEAR&amp;"."&amp;"EMPLOYMENT"&amp;"."&amp;$E58,DATA!$C:$C,0))</f>
        <v>208.55602792428451</v>
      </c>
      <c r="J58" s="631">
        <f>INDEX(DATA!L:L,MATCH(CHARTYEAR&amp;"."&amp;"EMPLOYMENT"&amp;"."&amp;$E58,DATA!$C:$C,0))</f>
        <v>134.15884837234677</v>
      </c>
      <c r="K58" s="631">
        <f>INDEX(DATA!M:M,MATCH(CHARTYEAR&amp;"."&amp;"EMPLOYMENT"&amp;"."&amp;$E58,DATA!$C:$C,0))</f>
        <v>103.34500015300728</v>
      </c>
      <c r="L58" s="631">
        <f>INDEX(DATA!N:N,MATCH(CHARTYEAR&amp;"."&amp;"EMPLOYMENT"&amp;"."&amp;$E58,DATA!$C:$C,0))</f>
        <v>167.69856046543347</v>
      </c>
      <c r="M58" s="631">
        <f>INDEX(DATA!O:O,MATCH(CHARTYEAR&amp;"."&amp;"EMPLOYMENT"&amp;"."&amp;$E58,DATA!$C:$C,0))</f>
        <v>177.52467975379591</v>
      </c>
      <c r="N58" s="631">
        <f>INDEX(DATA!P:P,MATCH(CHARTYEAR&amp;"."&amp;"EMPLOYMENT"&amp;"."&amp;$E58,DATA!$C:$C,0))</f>
        <v>91.439621985855823</v>
      </c>
      <c r="O58" s="631">
        <f>INDEX(DATA!Q:Q,MATCH(CHARTYEAR&amp;"."&amp;"EMPLOYMENT"&amp;"."&amp;$E58,DATA!$C:$C,0))</f>
        <v>91.349979482625187</v>
      </c>
      <c r="P58" s="631">
        <f>INDEX(DATA!R:R,MATCH(CHARTYEAR&amp;"."&amp;"EMPLOYMENT"&amp;"."&amp;$E58,DATA!$C:$C,0))</f>
        <v>71.180416255737171</v>
      </c>
      <c r="Q58" s="631">
        <f>INDEX(DATA!S:S,MATCH(CHARTYEAR&amp;"."&amp;"EMPLOYMENT"&amp;"."&amp;$E58,DATA!$C:$C,0))</f>
        <v>206.1167761356964</v>
      </c>
      <c r="R58" s="627"/>
      <c r="S58" s="627"/>
      <c r="T58" s="627"/>
      <c r="U58" s="627"/>
      <c r="V58" s="621"/>
      <c r="W58" s="621"/>
    </row>
    <row r="59" spans="3:23" ht="16.2" customHeight="1" x14ac:dyDescent="0.3">
      <c r="C59" s="621"/>
      <c r="D59" s="619"/>
      <c r="E59" s="637" t="str">
        <v>Day Visitor</v>
      </c>
      <c r="F59" s="631">
        <f>INDEX(DATA!H:H,MATCH(CHARTYEAR&amp;"."&amp;"EMPLOYMENT"&amp;"."&amp;$E59,DATA!$C:$C,0))</f>
        <v>243.83502495580095</v>
      </c>
      <c r="G59" s="631">
        <f>INDEX(DATA!I:I,MATCH(CHARTYEAR&amp;"."&amp;"EMPLOYMENT"&amp;"."&amp;$E59,DATA!$C:$C,0))</f>
        <v>412.23694357808694</v>
      </c>
      <c r="H59" s="631">
        <f>INDEX(DATA!J:J,MATCH(CHARTYEAR&amp;"."&amp;"EMPLOYMENT"&amp;"."&amp;$E59,DATA!$C:$C,0))</f>
        <v>1511.6421017292582</v>
      </c>
      <c r="I59" s="631">
        <f>INDEX(DATA!K:K,MATCH(CHARTYEAR&amp;"."&amp;"EMPLOYMENT"&amp;"."&amp;$E59,DATA!$C:$C,0))</f>
        <v>2193.5501476437335</v>
      </c>
      <c r="J59" s="631">
        <f>INDEX(DATA!L:L,MATCH(CHARTYEAR&amp;"."&amp;"EMPLOYMENT"&amp;"."&amp;$E59,DATA!$C:$C,0))</f>
        <v>2034.0475763880959</v>
      </c>
      <c r="K59" s="631">
        <f>INDEX(DATA!M:M,MATCH(CHARTYEAR&amp;"."&amp;"EMPLOYMENT"&amp;"."&amp;$E59,DATA!$C:$C,0))</f>
        <v>2869.4121396404407</v>
      </c>
      <c r="L59" s="631">
        <f>INDEX(DATA!N:N,MATCH(CHARTYEAR&amp;"."&amp;"EMPLOYMENT"&amp;"."&amp;$E59,DATA!$C:$C,0))</f>
        <v>2456.6797981472973</v>
      </c>
      <c r="M59" s="631">
        <f>INDEX(DATA!O:O,MATCH(CHARTYEAR&amp;"."&amp;"EMPLOYMENT"&amp;"."&amp;$E59,DATA!$C:$C,0))</f>
        <v>3478.9435571701388</v>
      </c>
      <c r="N59" s="631">
        <f>INDEX(DATA!P:P,MATCH(CHARTYEAR&amp;"."&amp;"EMPLOYMENT"&amp;"."&amp;$E59,DATA!$C:$C,0))</f>
        <v>1452.4120875308661</v>
      </c>
      <c r="O59" s="631">
        <f>INDEX(DATA!Q:Q,MATCH(CHARTYEAR&amp;"."&amp;"EMPLOYMENT"&amp;"."&amp;$E59,DATA!$C:$C,0))</f>
        <v>1189.4526114291843</v>
      </c>
      <c r="P59" s="631">
        <f>INDEX(DATA!R:R,MATCH(CHARTYEAR&amp;"."&amp;"EMPLOYMENT"&amp;"."&amp;$E59,DATA!$C:$C,0))</f>
        <v>414.91660478639443</v>
      </c>
      <c r="Q59" s="631">
        <f>INDEX(DATA!S:S,MATCH(CHARTYEAR&amp;"."&amp;"EMPLOYMENT"&amp;"."&amp;$E59,DATA!$C:$C,0))</f>
        <v>309.5638220343854</v>
      </c>
      <c r="R59" s="627"/>
      <c r="S59" s="627"/>
      <c r="T59" s="627"/>
      <c r="U59" s="627"/>
      <c r="V59" s="621"/>
      <c r="W59" s="621"/>
    </row>
    <row r="60" spans="3:23" ht="16.2" customHeight="1" x14ac:dyDescent="0.3">
      <c r="C60" s="621"/>
      <c r="D60" s="619"/>
      <c r="E60" s="635">
        <f>CHARTYEAR</f>
        <v>2022</v>
      </c>
      <c r="F60" s="639" t="str">
        <f t="array" ref="F60:Q60">{"Jan","Feb","Mar","Apr","May","Jun","Jul","Aug","Sep","Oct","Nov","Dec"}</f>
        <v>Jan</v>
      </c>
      <c r="G60" s="640" t="str">
        <v>Feb</v>
      </c>
      <c r="H60" s="639" t="str">
        <v>Mar</v>
      </c>
      <c r="I60" s="639" t="str">
        <v>Apr</v>
      </c>
      <c r="J60" s="639" t="str">
        <v>May</v>
      </c>
      <c r="K60" s="639" t="str">
        <v>Jun</v>
      </c>
      <c r="L60" s="639" t="str">
        <v>Jul</v>
      </c>
      <c r="M60" s="639" t="str">
        <v>Aug</v>
      </c>
      <c r="N60" s="639" t="str">
        <v>Sep</v>
      </c>
      <c r="O60" s="639" t="str">
        <v>Oct</v>
      </c>
      <c r="P60" s="639" t="str">
        <v>Nov</v>
      </c>
      <c r="Q60" s="639" t="str">
        <v>Dec</v>
      </c>
      <c r="R60" s="627"/>
      <c r="S60" s="627"/>
      <c r="T60" s="627"/>
      <c r="U60" s="627"/>
      <c r="V60" s="621"/>
      <c r="W60" s="621"/>
    </row>
    <row r="61" spans="3:23" ht="16.2" customHeight="1" x14ac:dyDescent="0.3">
      <c r="C61" s="621"/>
      <c r="D61" s="619"/>
      <c r="E61" s="641" t="s">
        <v>54</v>
      </c>
      <c r="F61" s="633">
        <f>INDEX(DATA!H:H,MATCH(CHARTYEAR&amp;"."&amp;"ECONOMIC IMPACT"&amp;"."&amp;$E61,DATA!$C:$C,0))*INDEX(REP.indexationfactors,(MATCH(CHARTYEAR,REP.yearsrange,0)))/$A$2</f>
        <v>50.980080778049135</v>
      </c>
      <c r="G61" s="633">
        <f>INDEX(DATA!I:I,MATCH(CHARTYEAR&amp;"."&amp;"ECONOMIC IMPACT"&amp;"."&amp;$E61,DATA!$C:$C,0))*INDEX(REP.indexationfactors,(MATCH(CHARTYEAR,REP.yearsrange,0)))/$A$2</f>
        <v>59.91366461550983</v>
      </c>
      <c r="H61" s="633">
        <f>INDEX(DATA!J:J,MATCH(CHARTYEAR&amp;"."&amp;"ECONOMIC IMPACT"&amp;"."&amp;$E61,DATA!$C:$C,0))*INDEX(REP.indexationfactors,(MATCH(CHARTYEAR,REP.yearsrange,0)))/$A$2</f>
        <v>135.70320980316131</v>
      </c>
      <c r="I61" s="633">
        <f>INDEX(DATA!K:K,MATCH(CHARTYEAR&amp;"."&amp;"ECONOMIC IMPACT"&amp;"."&amp;$E61,DATA!$C:$C,0))*INDEX(REP.indexationfactors,(MATCH(CHARTYEAR,REP.yearsrange,0)))/$A$2</f>
        <v>126.45601117664154</v>
      </c>
      <c r="J61" s="633">
        <f>INDEX(DATA!L:L,MATCH(CHARTYEAR&amp;"."&amp;"ECONOMIC IMPACT"&amp;"."&amp;$E61,DATA!$C:$C,0))*INDEX(REP.indexationfactors,(MATCH(CHARTYEAR,REP.yearsrange,0)))/$A$2</f>
        <v>145.07947425356002</v>
      </c>
      <c r="K61" s="633">
        <f>INDEX(DATA!M:M,MATCH(CHARTYEAR&amp;"."&amp;"ECONOMIC IMPACT"&amp;"."&amp;$E61,DATA!$C:$C,0))*INDEX(REP.indexationfactors,(MATCH(CHARTYEAR,REP.yearsrange,0)))/$A$2</f>
        <v>162.79563186783298</v>
      </c>
      <c r="L61" s="633">
        <f>INDEX(DATA!N:N,MATCH(CHARTYEAR&amp;"."&amp;"ECONOMIC IMPACT"&amp;"."&amp;$E61,DATA!$C:$C,0))*INDEX(REP.indexationfactors,(MATCH(CHARTYEAR,REP.yearsrange,0)))/$A$2</f>
        <v>197.72456473614639</v>
      </c>
      <c r="M61" s="633">
        <f>INDEX(DATA!O:O,MATCH(CHARTYEAR&amp;"."&amp;"ECONOMIC IMPACT"&amp;"."&amp;$E61,DATA!$C:$C,0))*INDEX(REP.indexationfactors,(MATCH(CHARTYEAR,REP.yearsrange,0)))/$A$2</f>
        <v>221.77545943978933</v>
      </c>
      <c r="N61" s="633">
        <f>INDEX(DATA!P:P,MATCH(CHARTYEAR&amp;"."&amp;"ECONOMIC IMPACT"&amp;"."&amp;$E61,DATA!$C:$C,0))*INDEX(REP.indexationfactors,(MATCH(CHARTYEAR,REP.yearsrange,0)))/$A$2</f>
        <v>158.15706955069675</v>
      </c>
      <c r="O61" s="633">
        <f>INDEX(DATA!Q:Q,MATCH(CHARTYEAR&amp;"."&amp;"ECONOMIC IMPACT"&amp;"."&amp;$E61,DATA!$C:$C,0))*INDEX(REP.indexationfactors,(MATCH(CHARTYEAR,REP.yearsrange,0)))/$A$2</f>
        <v>127.05101266127984</v>
      </c>
      <c r="P61" s="633">
        <f>INDEX(DATA!R:R,MATCH(CHARTYEAR&amp;"."&amp;"ECONOMIC IMPACT"&amp;"."&amp;$E61,DATA!$C:$C,0))*INDEX(REP.indexationfactors,(MATCH(CHARTYEAR,REP.yearsrange,0)))/$A$2</f>
        <v>73.095394381108605</v>
      </c>
      <c r="Q61" s="633">
        <f>INDEX(DATA!S:S,MATCH(CHARTYEAR&amp;"."&amp;"ECONOMIC IMPACT"&amp;"."&amp;$E61,DATA!$C:$C,0))*INDEX(REP.indexationfactors,(MATCH(CHARTYEAR,REP.yearsrange,0)))/$A$2</f>
        <v>64.709797711719858</v>
      </c>
      <c r="R61" s="634"/>
      <c r="S61" s="629"/>
      <c r="T61" s="629"/>
      <c r="U61" s="629"/>
      <c r="V61" s="621"/>
      <c r="W61" s="621"/>
    </row>
    <row r="62" spans="3:23" ht="16.2" customHeight="1" x14ac:dyDescent="0.3">
      <c r="C62" s="621"/>
      <c r="D62" s="619"/>
      <c r="E62" s="641" t="s">
        <v>54</v>
      </c>
      <c r="F62" s="633">
        <f>INDEX(DATA!H:H,MATCH(CHARTYEAR&amp;"."&amp;"VISITOR NUMBERS"&amp;"."&amp;$E62,DATA!$C:$C,0))/$B$2</f>
        <v>287.11620278265895</v>
      </c>
      <c r="G62" s="633">
        <f>INDEX(DATA!I:I,MATCH(CHARTYEAR&amp;"."&amp;"VISITOR NUMBERS"&amp;"."&amp;$E62,DATA!$C:$C,0))/$B$2</f>
        <v>311.35320344182043</v>
      </c>
      <c r="H62" s="633">
        <f>INDEX(DATA!J:J,MATCH(CHARTYEAR&amp;"."&amp;"VISITOR NUMBERS"&amp;"."&amp;$E62,DATA!$C:$C,0))/$B$2</f>
        <v>743.36689058253774</v>
      </c>
      <c r="I62" s="633">
        <f>INDEX(DATA!K:K,MATCH(CHARTYEAR&amp;"."&amp;"VISITOR NUMBERS"&amp;"."&amp;$E62,DATA!$C:$C,0))/$B$2</f>
        <v>773.73352709421169</v>
      </c>
      <c r="J62" s="633">
        <f>INDEX(DATA!L:L,MATCH(CHARTYEAR&amp;"."&amp;"VISITOR NUMBERS"&amp;"."&amp;$E62,DATA!$C:$C,0))/$B$2</f>
        <v>780.51824832255988</v>
      </c>
      <c r="K62" s="633">
        <f>INDEX(DATA!M:M,MATCH(CHARTYEAR&amp;"."&amp;"VISITOR NUMBERS"&amp;"."&amp;$E62,DATA!$C:$C,0))/$B$2</f>
        <v>973.10870359945091</v>
      </c>
      <c r="L62" s="633">
        <f>INDEX(DATA!N:N,MATCH(CHARTYEAR&amp;"."&amp;"VISITOR NUMBERS"&amp;"."&amp;$E62,DATA!$C:$C,0))/$B$2</f>
        <v>960.72182345150077</v>
      </c>
      <c r="M62" s="633">
        <f>INDEX(DATA!O:O,MATCH(CHARTYEAR&amp;"."&amp;"VISITOR NUMBERS"&amp;"."&amp;$E62,DATA!$C:$C,0))/$B$2</f>
        <v>1173.4381871534306</v>
      </c>
      <c r="N62" s="633">
        <f>INDEX(DATA!P:P,MATCH(CHARTYEAR&amp;"."&amp;"VISITOR NUMBERS"&amp;"."&amp;$E62,DATA!$C:$C,0))/$B$2</f>
        <v>660.22865816345757</v>
      </c>
      <c r="O62" s="633">
        <f>INDEX(DATA!Q:Q,MATCH(CHARTYEAR&amp;"."&amp;"VISITOR NUMBERS"&amp;"."&amp;$E62,DATA!$C:$C,0))/$B$2</f>
        <v>587.64121615719228</v>
      </c>
      <c r="P62" s="633">
        <f>INDEX(DATA!R:R,MATCH(CHARTYEAR&amp;"."&amp;"VISITOR NUMBERS"&amp;"."&amp;$E62,DATA!$C:$C,0))/$B$2</f>
        <v>358.23357415145904</v>
      </c>
      <c r="Q62" s="633">
        <f>INDEX(DATA!S:S,MATCH(CHARTYEAR&amp;"."&amp;"VISITOR NUMBERS"&amp;"."&amp;$E62,DATA!$C:$C,0))/$B$2</f>
        <v>272.84364023417345</v>
      </c>
      <c r="R62" s="634"/>
      <c r="S62" s="629"/>
      <c r="T62" s="629"/>
      <c r="U62" s="629"/>
      <c r="V62" s="621"/>
      <c r="W62" s="621"/>
    </row>
    <row r="63" spans="3:23" ht="16.2" customHeight="1" x14ac:dyDescent="0.3">
      <c r="C63" s="621"/>
      <c r="D63" s="619"/>
      <c r="E63" s="641" t="s">
        <v>54</v>
      </c>
      <c r="F63" s="633">
        <f>INDEX(DATA!H:H,MATCH(CHARTYEAR&amp;"."&amp;"VISITOR DAYS"&amp;"."&amp;$E63,DATA!$C:$C,0))/$C$2</f>
        <v>813.89529229505251</v>
      </c>
      <c r="G63" s="633">
        <f>INDEX(DATA!I:I,MATCH(CHARTYEAR&amp;"."&amp;"VISITOR DAYS"&amp;"."&amp;$E63,DATA!$C:$C,0))/$C$2</f>
        <v>905.4219241533583</v>
      </c>
      <c r="H63" s="633">
        <f>INDEX(DATA!J:J,MATCH(CHARTYEAR&amp;"."&amp;"VISITOR DAYS"&amp;"."&amp;$E63,DATA!$C:$C,0))/$C$2</f>
        <v>2237.4462922791722</v>
      </c>
      <c r="I63" s="633">
        <f>INDEX(DATA!K:K,MATCH(CHARTYEAR&amp;"."&amp;"VISITOR DAYS"&amp;"."&amp;$E63,DATA!$C:$C,0))/$C$2</f>
        <v>2106.4495129571146</v>
      </c>
      <c r="J63" s="633">
        <f>INDEX(DATA!L:L,MATCH(CHARTYEAR&amp;"."&amp;"VISITOR DAYS"&amp;"."&amp;$E63,DATA!$C:$C,0))/$C$2</f>
        <v>2437.6846751667672</v>
      </c>
      <c r="K63" s="633">
        <f>INDEX(DATA!M:M,MATCH(CHARTYEAR&amp;"."&amp;"VISITOR DAYS"&amp;"."&amp;$E63,DATA!$C:$C,0))/$C$2</f>
        <v>2745.9362609215987</v>
      </c>
      <c r="L63" s="633">
        <f>INDEX(DATA!N:N,MATCH(CHARTYEAR&amp;"."&amp;"VISITOR DAYS"&amp;"."&amp;$E63,DATA!$C:$C,0))/$C$2</f>
        <v>3054.4274292380123</v>
      </c>
      <c r="M63" s="633">
        <f>INDEX(DATA!O:O,MATCH(CHARTYEAR&amp;"."&amp;"VISITOR DAYS"&amp;"."&amp;$E63,DATA!$C:$C,0))/$C$2</f>
        <v>3467.8100439721402</v>
      </c>
      <c r="N63" s="633">
        <f>INDEX(DATA!P:P,MATCH(CHARTYEAR&amp;"."&amp;"VISITOR DAYS"&amp;"."&amp;$E63,DATA!$C:$C,0))/$C$2</f>
        <v>2302.6277500946148</v>
      </c>
      <c r="O63" s="633">
        <f>INDEX(DATA!Q:Q,MATCH(CHARTYEAR&amp;"."&amp;"VISITOR DAYS"&amp;"."&amp;$E63,DATA!$C:$C,0))/$C$2</f>
        <v>2078.1868385705779</v>
      </c>
      <c r="P63" s="633">
        <f>INDEX(DATA!R:R,MATCH(CHARTYEAR&amp;"."&amp;"VISITOR DAYS"&amp;"."&amp;$E63,DATA!$C:$C,0))/$C$2</f>
        <v>1091.8251499721782</v>
      </c>
      <c r="Q63" s="633">
        <f>INDEX(DATA!S:S,MATCH(CHARTYEAR&amp;"."&amp;"VISITOR DAYS"&amp;"."&amp;$E63,DATA!$C:$C,0))/$C$2</f>
        <v>938.60306827556303</v>
      </c>
      <c r="R63" s="634"/>
      <c r="S63" s="629"/>
      <c r="T63" s="629"/>
      <c r="U63" s="629"/>
      <c r="V63" s="621"/>
      <c r="W63" s="621"/>
    </row>
    <row r="64" spans="3:23" ht="16.2" customHeight="1" x14ac:dyDescent="0.3">
      <c r="C64" s="621"/>
      <c r="D64" s="619"/>
      <c r="E64" s="641" t="s">
        <v>54</v>
      </c>
      <c r="F64" s="631">
        <f>INDEX(DATA!H:H,MATCH(CHARTYEAR&amp;"."&amp;"EMPLOYMENT"&amp;"."&amp;$E64,DATA!$C:$C,0))</f>
        <v>9997.1486984767216</v>
      </c>
      <c r="G64" s="631">
        <f>INDEX(DATA!I:I,MATCH(CHARTYEAR&amp;"."&amp;"EMPLOYMENT"&amp;"."&amp;$E64,DATA!$C:$C,0))</f>
        <v>12395.650372223936</v>
      </c>
      <c r="H64" s="631">
        <f>INDEX(DATA!J:J,MATCH(CHARTYEAR&amp;"."&amp;"EMPLOYMENT"&amp;"."&amp;$E64,DATA!$C:$C,0))</f>
        <v>19527.204758457621</v>
      </c>
      <c r="I64" s="631">
        <f>INDEX(DATA!K:K,MATCH(CHARTYEAR&amp;"."&amp;"EMPLOYMENT"&amp;"."&amp;$E64,DATA!$C:$C,0))</f>
        <v>18068.053762026098</v>
      </c>
      <c r="J64" s="631">
        <f>INDEX(DATA!L:L,MATCH(CHARTYEAR&amp;"."&amp;"EMPLOYMENT"&amp;"."&amp;$E64,DATA!$C:$C,0))</f>
        <v>19975.444997446422</v>
      </c>
      <c r="K64" s="631">
        <f>INDEX(DATA!M:M,MATCH(CHARTYEAR&amp;"."&amp;"EMPLOYMENT"&amp;"."&amp;$E64,DATA!$C:$C,0))</f>
        <v>21914.047501219578</v>
      </c>
      <c r="L64" s="631">
        <f>INDEX(DATA!N:N,MATCH(CHARTYEAR&amp;"."&amp;"EMPLOYMENT"&amp;"."&amp;$E64,DATA!$C:$C,0))</f>
        <v>24164.477429457402</v>
      </c>
      <c r="M64" s="631">
        <f>INDEX(DATA!O:O,MATCH(CHARTYEAR&amp;"."&amp;"EMPLOYMENT"&amp;"."&amp;$E64,DATA!$C:$C,0))</f>
        <v>26743.172878035679</v>
      </c>
      <c r="N64" s="631">
        <f>INDEX(DATA!P:P,MATCH(CHARTYEAR&amp;"."&amp;"EMPLOYMENT"&amp;"."&amp;$E64,DATA!$C:$C,0))</f>
        <v>19688.738715199102</v>
      </c>
      <c r="O64" s="631">
        <f>INDEX(DATA!Q:Q,MATCH(CHARTYEAR&amp;"."&amp;"EMPLOYMENT"&amp;"."&amp;$E64,DATA!$C:$C,0))</f>
        <v>17923.426966572366</v>
      </c>
      <c r="P64" s="631">
        <f>INDEX(DATA!R:R,MATCH(CHARTYEAR&amp;"."&amp;"EMPLOYMENT"&amp;"."&amp;$E64,DATA!$C:$C,0))</f>
        <v>11692.158009632874</v>
      </c>
      <c r="Q64" s="631">
        <f>INDEX(DATA!S:S,MATCH(CHARTYEAR&amp;"."&amp;"EMPLOYMENT"&amp;"."&amp;$E64,DATA!$C:$C,0))</f>
        <v>10750.031006683594</v>
      </c>
      <c r="R64" s="625"/>
      <c r="S64" s="629"/>
      <c r="T64" s="629"/>
      <c r="U64" s="629"/>
      <c r="V64" s="621"/>
      <c r="W64" s="621"/>
    </row>
    <row r="65" spans="3:23" ht="16.2" customHeight="1" x14ac:dyDescent="0.3">
      <c r="C65" s="621"/>
      <c r="D65" s="619"/>
      <c r="E65" s="621"/>
      <c r="F65" s="621"/>
      <c r="G65" s="621"/>
      <c r="H65" s="621"/>
      <c r="I65" s="621"/>
      <c r="J65" s="621"/>
      <c r="K65" s="621"/>
      <c r="L65" s="621"/>
      <c r="M65" s="621"/>
      <c r="N65" s="621"/>
      <c r="O65" s="621"/>
      <c r="P65" s="621"/>
      <c r="Q65" s="621"/>
      <c r="R65" s="621"/>
      <c r="S65" s="621"/>
      <c r="T65" s="621"/>
      <c r="U65" s="621"/>
      <c r="V65" s="621"/>
      <c r="W65" s="621"/>
    </row>
    <row r="66" spans="3:23" ht="16.2" customHeight="1" x14ac:dyDescent="0.3">
      <c r="C66" s="621"/>
      <c r="D66" s="619"/>
      <c r="E66" s="621"/>
      <c r="F66" s="621"/>
      <c r="G66" s="621"/>
      <c r="H66" s="621"/>
      <c r="I66" s="621"/>
      <c r="J66" s="621"/>
      <c r="K66" s="621"/>
      <c r="L66" s="621"/>
      <c r="M66" s="621"/>
      <c r="N66" s="621"/>
      <c r="O66" s="621"/>
      <c r="P66" s="621"/>
      <c r="Q66" s="621"/>
      <c r="R66" s="621"/>
      <c r="S66" s="621"/>
      <c r="T66" s="621"/>
      <c r="U66" s="621"/>
      <c r="V66" s="621"/>
      <c r="W66" s="621"/>
    </row>
    <row r="67" spans="3:23" ht="16.2" customHeight="1" x14ac:dyDescent="0.3">
      <c r="C67" s="621"/>
      <c r="D67" s="619"/>
      <c r="E67" s="621"/>
      <c r="F67" s="621"/>
      <c r="G67" s="621"/>
      <c r="H67" s="621"/>
      <c r="I67" s="621"/>
      <c r="J67" s="621"/>
      <c r="K67" s="621"/>
      <c r="L67" s="621"/>
      <c r="M67" s="621"/>
      <c r="N67" s="621"/>
      <c r="O67" s="621"/>
      <c r="P67" s="621"/>
      <c r="Q67" s="621"/>
      <c r="R67" s="621"/>
      <c r="S67" s="621"/>
      <c r="T67" s="621"/>
      <c r="U67" s="621"/>
      <c r="V67" s="621"/>
      <c r="W67" s="621"/>
    </row>
    <row r="68" spans="3:23" ht="16.2" customHeight="1" x14ac:dyDescent="0.3">
      <c r="C68" s="621"/>
      <c r="D68" s="619"/>
      <c r="E68" s="621"/>
      <c r="F68" s="621"/>
      <c r="G68" s="621"/>
      <c r="H68" s="621"/>
      <c r="I68" s="621"/>
      <c r="J68" s="621"/>
      <c r="K68" s="621"/>
      <c r="L68" s="621"/>
      <c r="M68" s="621"/>
      <c r="N68" s="621"/>
      <c r="O68" s="621"/>
      <c r="P68" s="621"/>
      <c r="Q68" s="621"/>
      <c r="R68" s="621"/>
      <c r="S68" s="621"/>
      <c r="T68" s="621"/>
      <c r="U68" s="621"/>
      <c r="V68" s="621"/>
      <c r="W68" s="621"/>
    </row>
    <row r="69" spans="3:23" ht="16.2" customHeight="1" x14ac:dyDescent="0.3">
      <c r="C69" s="621"/>
      <c r="D69" s="619"/>
      <c r="E69" s="621"/>
      <c r="F69" s="621"/>
      <c r="G69" s="621"/>
      <c r="H69" s="621"/>
      <c r="I69" s="621"/>
      <c r="J69" s="621"/>
      <c r="K69" s="621"/>
      <c r="L69" s="621"/>
      <c r="M69" s="621"/>
      <c r="N69" s="621"/>
      <c r="O69" s="621"/>
      <c r="P69" s="621"/>
      <c r="Q69" s="621"/>
      <c r="R69" s="621"/>
      <c r="S69" s="621"/>
      <c r="T69" s="621"/>
      <c r="U69" s="621"/>
      <c r="V69" s="621"/>
      <c r="W69" s="621"/>
    </row>
    <row r="70" spans="3:23" ht="16.2" customHeight="1" x14ac:dyDescent="0.3">
      <c r="C70" s="621"/>
      <c r="D70" s="619"/>
      <c r="E70" s="621"/>
      <c r="F70" s="621"/>
      <c r="G70" s="621" t="s">
        <v>43</v>
      </c>
      <c r="H70" s="621" t="s">
        <v>43</v>
      </c>
      <c r="I70" s="621"/>
      <c r="J70" s="621" t="s">
        <v>48</v>
      </c>
      <c r="K70" s="621" t="s">
        <v>48</v>
      </c>
      <c r="L70" s="621"/>
      <c r="M70" s="621" t="s">
        <v>18</v>
      </c>
      <c r="N70" s="621" t="s">
        <v>18</v>
      </c>
      <c r="O70" s="621"/>
      <c r="P70" s="621" t="s">
        <v>95</v>
      </c>
      <c r="Q70" s="621"/>
      <c r="R70" s="621"/>
      <c r="S70" s="621" t="s">
        <v>71</v>
      </c>
      <c r="T70" s="621" t="s">
        <v>71</v>
      </c>
      <c r="U70" s="621"/>
      <c r="V70" s="621" t="s">
        <v>54</v>
      </c>
      <c r="W70" s="621" t="s">
        <v>54</v>
      </c>
    </row>
    <row r="71" spans="3:23" ht="16.2" customHeight="1" x14ac:dyDescent="0.3">
      <c r="C71" s="621"/>
      <c r="D71" s="619"/>
      <c r="E71" s="621"/>
      <c r="F71" s="621"/>
      <c r="G71" s="621"/>
      <c r="H71" s="621"/>
      <c r="I71" s="621"/>
      <c r="J71" s="621"/>
      <c r="K71" s="621"/>
      <c r="L71" s="621"/>
      <c r="M71" s="621"/>
      <c r="N71" s="621"/>
      <c r="O71" s="621"/>
      <c r="P71" s="621"/>
      <c r="Q71" s="621"/>
      <c r="R71" s="621"/>
      <c r="S71" s="621"/>
      <c r="T71" s="621"/>
      <c r="U71" s="621"/>
      <c r="V71" s="621"/>
      <c r="W71" s="621"/>
    </row>
  </sheetData>
  <sheetProtection algorithmName="SHA-512" hashValue="GMKlR5cLawFhwIP9e12VU2EnrDg5cjAOREikrZjamZ5aruwJ5N1PtyDIGavENg13UuyztAoUuh38/oZdEkVkFQ==" saltValue="SOPlkUnkg/rBSbaF6vVuLg==" spinCount="100000" sheet="1" objects="1" scenarios="1"/>
  <mergeCells count="8">
    <mergeCell ref="E23:N23"/>
    <mergeCell ref="O23:X23"/>
    <mergeCell ref="O6:R6"/>
    <mergeCell ref="S6:T7"/>
    <mergeCell ref="U6:X7"/>
    <mergeCell ref="O7:R7"/>
    <mergeCell ref="E8:N8"/>
    <mergeCell ref="O8:X8"/>
  </mergeCells>
  <conditionalFormatting sqref="F61:R62">
    <cfRule type="expression" dxfId="149" priority="3">
      <formula>AVERAGE($F61:$Q61)&gt;2500</formula>
    </cfRule>
  </conditionalFormatting>
  <conditionalFormatting sqref="AA29">
    <cfRule type="expression" dxfId="148" priority="2">
      <formula>AA29&gt;2500</formula>
    </cfRule>
  </conditionalFormatting>
  <conditionalFormatting sqref="AB29:AB31">
    <cfRule type="expression" dxfId="147" priority="1">
      <formula>AB29&gt;2500</formula>
    </cfRule>
  </conditionalFormatting>
  <printOptions horizontalCentered="1" verticalCentered="1"/>
  <pageMargins left="0.70866141732283472" right="0.70866141732283472" top="0.74803149606299213" bottom="0.74803149606299213" header="0.31496062992125984" footer="0.31496062992125984"/>
  <pageSetup paperSize="9" scale="92"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189441" r:id="rId4" name="Drop Down 1">
              <controlPr defaultSize="0" autoLine="0" autoPict="0">
                <anchor moveWithCells="1">
                  <from>
                    <xdr:col>16</xdr:col>
                    <xdr:colOff>76200</xdr:colOff>
                    <xdr:row>4</xdr:row>
                    <xdr:rowOff>22860</xdr:rowOff>
                  </from>
                  <to>
                    <xdr:col>17</xdr:col>
                    <xdr:colOff>297180</xdr:colOff>
                    <xdr:row>4</xdr:row>
                    <xdr:rowOff>297180</xdr:rowOff>
                  </to>
                </anchor>
              </controlPr>
            </control>
          </mc:Choice>
        </mc:AlternateContent>
        <mc:AlternateContent xmlns:mc="http://schemas.openxmlformats.org/markup-compatibility/2006">
          <mc:Choice Requires="x14">
            <control shapeId="189442" r:id="rId5" name="Drop Down 2">
              <controlPr defaultSize="0" autoLine="0" autoPict="0">
                <anchor moveWithCells="1">
                  <from>
                    <xdr:col>5</xdr:col>
                    <xdr:colOff>335280</xdr:colOff>
                    <xdr:row>4</xdr:row>
                    <xdr:rowOff>22860</xdr:rowOff>
                  </from>
                  <to>
                    <xdr:col>7</xdr:col>
                    <xdr:colOff>198120</xdr:colOff>
                    <xdr:row>4</xdr:row>
                    <xdr:rowOff>297180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Output03">
    <tabColor theme="4"/>
    <outlinePr showOutlineSymbols="0"/>
    <pageSetUpPr autoPageBreaks="0" fitToPage="1"/>
  </sheetPr>
  <dimension ref="A1:AI70"/>
  <sheetViews>
    <sheetView showGridLines="0" showRowColHeaders="0" showZeros="0" showOutlineSymbols="0" topLeftCell="A2" zoomScaleNormal="100" workbookViewId="0">
      <pane ySplit="6" topLeftCell="A8" activePane="bottomLeft" state="frozen"/>
      <selection activeCell="E6" sqref="E6"/>
      <selection pane="bottomLeft" activeCell="AC28" sqref="AC28"/>
    </sheetView>
  </sheetViews>
  <sheetFormatPr defaultColWidth="4.88671875" defaultRowHeight="16.2" customHeight="1" x14ac:dyDescent="0.3"/>
  <cols>
    <col min="1" max="1" width="7.88671875" style="39" bestFit="1" customWidth="1"/>
    <col min="2" max="3" width="4.88671875" style="39"/>
    <col min="4" max="4" width="4.88671875" style="40"/>
    <col min="5" max="5" width="19.5546875" style="39" customWidth="1"/>
    <col min="6" max="6" width="5.109375" style="39" customWidth="1"/>
    <col min="7" max="24" width="7.33203125" style="39" customWidth="1"/>
    <col min="25" max="25" width="7.109375" style="39" bestFit="1" customWidth="1"/>
    <col min="26" max="26" width="8.44140625" style="39" bestFit="1" customWidth="1"/>
    <col min="27" max="16384" width="4.88671875" style="39"/>
  </cols>
  <sheetData>
    <row r="1" spans="1:25" ht="16.2" hidden="1" customHeight="1" thickTop="1" thickBot="1" x14ac:dyDescent="0.35">
      <c r="A1" s="37" t="str">
        <f ca="1">MID(CELL("filename",A1),FIND("]",CELL("filename",A1))+1,255)</f>
        <v>ECONOMIC IMPACT</v>
      </c>
      <c r="E1" s="53"/>
      <c r="F1" s="54"/>
      <c r="G1" s="54"/>
      <c r="H1" s="54"/>
      <c r="I1" s="54"/>
      <c r="J1" s="54"/>
      <c r="K1" s="54"/>
      <c r="L1" s="54"/>
      <c r="M1" s="54"/>
      <c r="N1" s="54"/>
      <c r="O1" s="54"/>
      <c r="P1" s="54"/>
      <c r="Q1" s="54"/>
      <c r="R1" s="54"/>
      <c r="S1" s="54"/>
      <c r="T1" s="54"/>
      <c r="U1" s="54"/>
      <c r="V1" s="54"/>
      <c r="W1" s="54"/>
      <c r="X1" s="55"/>
    </row>
    <row r="2" spans="1:25" ht="16.2" customHeight="1" thickTop="1" x14ac:dyDescent="0.3">
      <c r="A2" s="618">
        <f ca="1">IF(($A$3/1000000)&gt;1,1000000,IF(($A$3/1000)&gt;1,1000,1))</f>
        <v>1000</v>
      </c>
      <c r="B2" s="618"/>
      <c r="C2" s="618"/>
      <c r="D2" s="622"/>
      <c r="E2" s="44"/>
      <c r="F2" s="45"/>
      <c r="G2" s="45"/>
      <c r="H2" s="45"/>
      <c r="I2" s="45"/>
      <c r="J2" s="45"/>
      <c r="K2" s="45"/>
      <c r="L2" s="45"/>
      <c r="M2" s="45"/>
      <c r="N2" s="45"/>
      <c r="O2" s="45"/>
      <c r="P2" s="45"/>
      <c r="Q2" s="45"/>
      <c r="R2" s="45"/>
      <c r="S2" s="45"/>
      <c r="T2" s="45"/>
      <c r="U2" s="45"/>
      <c r="V2" s="45"/>
      <c r="W2" s="45"/>
      <c r="X2" s="46"/>
    </row>
    <row r="3" spans="1:25" ht="26.4" customHeight="1" x14ac:dyDescent="0.3">
      <c r="A3" s="618">
        <f t="array" aca="1" ref="A3" ca="1">IFERROR(AVERAGE(IF(TYPE.no=5,(INDEX(DATA!T:T,MATCH(REP.yearsrange&amp;"."&amp;'ECONOMIC IMPACT'!$A$1&amp;"."&amp;TOTAL,REP.lookup,0))-INDEX(DATA!T:T,MATCH(REP.yearsrange&amp;"."&amp;'ECONOMIC IMPACT'!$A$1&amp;"."&amp;DV,REP.lookup,0))),INDEX(DATA!T:T,MATCH(REP.yearsrange&amp;"."&amp;'ECONOMIC IMPACT'!$A$1&amp;"."&amp;TYPE.userselected,REP.lookup,0)))),0)</f>
        <v>916094.92119228828</v>
      </c>
      <c r="B3" s="618">
        <f t="array" aca="1" ref="B3" ca="1">IFERROR(AVERAGE(IF(TYPE.no=5,(INDEX(DATA!U:U,MATCH(REP.yearsrange&amp;"."&amp;'ECONOMIC IMPACT'!$A$1&amp;"."&amp;TOTAL,REP.lookup,0))-INDEX(DATA!U:U,MATCH(REP.yearsrange&amp;"."&amp;'ECONOMIC IMPACT'!$A$1&amp;"."&amp;DV,REP.lookup,0))),INDEX(DATA!U:U,MATCH(REP.yearsrange&amp;"."&amp;'ECONOMIC IMPACT'!$A$1&amp;"."&amp;TYPE.userselected,REP.lookup,0)))),0)</f>
        <v>0</v>
      </c>
      <c r="C3" s="618"/>
      <c r="D3" s="622"/>
      <c r="E3" s="47"/>
      <c r="F3" s="43"/>
      <c r="G3" s="43"/>
      <c r="H3" s="43"/>
      <c r="I3" s="43"/>
      <c r="J3" s="43"/>
      <c r="K3" s="43"/>
      <c r="L3" s="43"/>
      <c r="M3" s="43"/>
      <c r="N3" s="43"/>
      <c r="O3" s="43"/>
      <c r="P3" s="43"/>
      <c r="Q3" s="43"/>
      <c r="R3" s="43"/>
      <c r="S3" s="43"/>
      <c r="T3" s="43"/>
      <c r="U3" s="43"/>
      <c r="V3" s="43"/>
      <c r="W3" s="43"/>
      <c r="X3" s="48"/>
    </row>
    <row r="4" spans="1:25" ht="26.4" customHeight="1" x14ac:dyDescent="0.3">
      <c r="A4" s="618">
        <f>IF(($A$5/1000000)&gt;1,1000000,IF(($A$5/1000)&gt;1,1000,1))</f>
        <v>1000000</v>
      </c>
      <c r="B4" s="618"/>
      <c r="C4" s="618"/>
      <c r="D4" s="622"/>
      <c r="E4" s="58"/>
      <c r="F4" s="59"/>
      <c r="G4" s="59"/>
      <c r="H4" s="59"/>
      <c r="I4" s="59"/>
      <c r="J4" s="59"/>
      <c r="K4" s="59"/>
      <c r="L4" s="59"/>
      <c r="M4" s="59"/>
      <c r="N4" s="59"/>
      <c r="O4" s="59"/>
      <c r="P4" s="59"/>
      <c r="Q4" s="59"/>
      <c r="R4" s="59"/>
      <c r="S4" s="59"/>
      <c r="T4" s="59"/>
      <c r="U4" s="59"/>
      <c r="V4" s="59"/>
      <c r="W4" s="59"/>
      <c r="X4" s="60"/>
    </row>
    <row r="5" spans="1:25" ht="26.4" customHeight="1" thickBot="1" x14ac:dyDescent="0.35">
      <c r="A5" s="618">
        <f>VLOOKUP(FOCUSYEAR&amp;".ECONOMIC IMPACT.TOTAL",REP.data,18,FALSE)</f>
        <v>1523441.3709754955</v>
      </c>
      <c r="B5" s="618"/>
      <c r="C5" s="618"/>
      <c r="D5" s="622"/>
      <c r="E5" s="50"/>
      <c r="F5" s="51"/>
      <c r="G5" s="51"/>
      <c r="H5" s="51"/>
      <c r="I5" s="51"/>
      <c r="J5" s="51"/>
      <c r="K5" s="51"/>
      <c r="L5" s="51"/>
      <c r="M5" s="51"/>
      <c r="N5" s="51"/>
      <c r="O5" s="51"/>
      <c r="P5" s="51"/>
      <c r="Q5" s="51"/>
      <c r="R5" s="51"/>
      <c r="S5" s="51"/>
      <c r="T5" s="51"/>
      <c r="U5" s="51"/>
      <c r="V5" s="51"/>
      <c r="W5" s="51"/>
      <c r="X5" s="52"/>
    </row>
    <row r="6" spans="1:25" ht="16.2" customHeight="1" thickTop="1" x14ac:dyDescent="0.3">
      <c r="A6" s="618"/>
      <c r="B6" s="618"/>
      <c r="C6" s="618"/>
      <c r="D6" s="619"/>
      <c r="E6" s="369" t="str">
        <f>REP.title1</f>
        <v>STEAM FINAL TREND REPORT FOR 2011-2022</v>
      </c>
      <c r="F6" s="390"/>
      <c r="G6" s="390"/>
      <c r="H6" s="390"/>
      <c r="I6" s="390"/>
      <c r="J6" s="390"/>
      <c r="K6" s="390"/>
      <c r="L6" s="390"/>
      <c r="M6" s="390"/>
      <c r="N6" s="390"/>
      <c r="O6" s="391"/>
      <c r="P6" s="1015" t="str">
        <f>MIN(REP.yearsrange)&amp;" to "&amp;MAX(REP.yearsrange)</f>
        <v>2011 to 2022</v>
      </c>
      <c r="Q6" s="1016"/>
      <c r="R6" s="1017"/>
      <c r="S6" s="929" t="str">
        <f>UPPER(TYPE.userselected)</f>
        <v>TOTAL</v>
      </c>
      <c r="T6" s="930"/>
      <c r="U6" s="806" t="str">
        <f>IF(REP.indexed="YES","ECONOMIC IMPACT"&amp;CHAR(10)&amp;"Indexed","ECONOMIC IMPACT"&amp;CHAR(10)&amp;"Historic Prices")</f>
        <v>ECONOMIC IMPACT
Indexed</v>
      </c>
      <c r="V6" s="807"/>
      <c r="W6" s="807"/>
      <c r="X6" s="808"/>
    </row>
    <row r="7" spans="1:25" ht="16.2" customHeight="1" thickBot="1" x14ac:dyDescent="0.35">
      <c r="A7" s="618"/>
      <c r="B7" s="618"/>
      <c r="C7" s="618"/>
      <c r="D7" s="619"/>
      <c r="E7" s="370" t="str">
        <f>REP.title2</f>
        <v>GWYNEDD COUNCIL</v>
      </c>
      <c r="F7" s="371"/>
      <c r="G7" s="371"/>
      <c r="H7" s="371"/>
      <c r="I7" s="372"/>
      <c r="J7" s="372"/>
      <c r="K7" s="372"/>
      <c r="L7" s="372"/>
      <c r="M7" s="372"/>
      <c r="N7" s="372"/>
      <c r="O7" s="392"/>
      <c r="P7" s="1012" t="str">
        <f>IF(REP.indexed="YES",MAX(REP.yearsrange)&amp;" Prices","Historic Prices")</f>
        <v>2022 Prices</v>
      </c>
      <c r="Q7" s="1013"/>
      <c r="R7" s="1014"/>
      <c r="S7" s="931"/>
      <c r="T7" s="932"/>
      <c r="U7" s="809"/>
      <c r="V7" s="810"/>
      <c r="W7" s="810"/>
      <c r="X7" s="811"/>
    </row>
    <row r="8" spans="1:25" ht="16.2" customHeight="1" thickTop="1" thickBot="1" x14ac:dyDescent="0.35">
      <c r="D8" s="112"/>
      <c r="E8" s="867" t="str">
        <f ca="1">$A$1&amp;" BY:"</f>
        <v>ECONOMIC IMPACT BY:</v>
      </c>
      <c r="F8" s="868"/>
      <c r="G8" s="867" t="s">
        <v>132</v>
      </c>
      <c r="H8" s="866"/>
      <c r="I8" s="866"/>
      <c r="J8" s="866"/>
      <c r="K8" s="866"/>
      <c r="L8" s="866"/>
      <c r="M8" s="866"/>
      <c r="N8" s="866"/>
      <c r="O8" s="866"/>
      <c r="P8" s="866"/>
      <c r="Q8" s="866"/>
      <c r="R8" s="866"/>
      <c r="S8" s="983" t="s">
        <v>123</v>
      </c>
      <c r="T8" s="984"/>
      <c r="U8" s="987" t="s">
        <v>124</v>
      </c>
      <c r="V8" s="988"/>
      <c r="W8" s="988"/>
      <c r="X8" s="989"/>
    </row>
    <row r="9" spans="1:25" s="35" customFormat="1" ht="16.2" customHeight="1" thickTop="1" thickBot="1" x14ac:dyDescent="0.35">
      <c r="D9" s="125"/>
      <c r="E9" s="872" t="s">
        <v>90</v>
      </c>
      <c r="F9" s="873"/>
      <c r="G9" s="998" t="str">
        <f>UPPER(TYPE.userselected)</f>
        <v>TOTAL</v>
      </c>
      <c r="H9" s="998"/>
      <c r="I9" s="998"/>
      <c r="J9" s="998"/>
      <c r="K9" s="998"/>
      <c r="L9" s="998"/>
      <c r="M9" s="998"/>
      <c r="N9" s="998"/>
      <c r="O9" s="998"/>
      <c r="P9" s="998"/>
      <c r="Q9" s="998"/>
      <c r="R9" s="999"/>
      <c r="S9" s="985"/>
      <c r="T9" s="986"/>
      <c r="U9" s="990"/>
      <c r="V9" s="991"/>
      <c r="W9" s="991"/>
      <c r="X9" s="992"/>
    </row>
    <row r="10" spans="1:25" s="35" customFormat="1" ht="16.2" customHeight="1" thickTop="1" thickBot="1" x14ac:dyDescent="0.35">
      <c r="D10" s="125"/>
      <c r="E10" s="845" t="str">
        <f>REP.highlightup</f>
        <v>An increase of 3% or more</v>
      </c>
      <c r="F10" s="846"/>
      <c r="G10" s="867" t="str">
        <f ca="1">$A$1&amp;" "&amp;$F$16&amp;" "&amp;IF(REP.indexed="YES"," - INDEXED TO "&amp;MAX(REP.yearsrange)," - IN HISTORIC PRICES")&amp;" / PERCENTAGE CHANGES"</f>
        <v>ECONOMIC IMPACT £M  - INDEXED TO 2022 / PERCENTAGE CHANGES</v>
      </c>
      <c r="H10" s="866"/>
      <c r="I10" s="866"/>
      <c r="J10" s="866"/>
      <c r="K10" s="866"/>
      <c r="L10" s="866"/>
      <c r="M10" s="866"/>
      <c r="N10" s="866"/>
      <c r="O10" s="866"/>
      <c r="P10" s="866"/>
      <c r="Q10" s="866"/>
      <c r="R10" s="868"/>
      <c r="S10" s="980" t="s">
        <v>38</v>
      </c>
      <c r="T10" s="980" t="s">
        <v>118</v>
      </c>
      <c r="U10" s="990"/>
      <c r="V10" s="991"/>
      <c r="W10" s="991"/>
      <c r="X10" s="992"/>
    </row>
    <row r="11" spans="1:25" s="35" customFormat="1" ht="16.2" customHeight="1" thickTop="1" thickBot="1" x14ac:dyDescent="0.35">
      <c r="D11" s="125"/>
      <c r="E11" s="856" t="str">
        <f>REP.highlightsame</f>
        <v>Less than 3% change</v>
      </c>
      <c r="F11" s="857"/>
      <c r="G11" s="1000" t="s">
        <v>91</v>
      </c>
      <c r="H11" s="1001"/>
      <c r="I11" s="1002"/>
      <c r="J11" s="1003" t="s">
        <v>92</v>
      </c>
      <c r="K11" s="1004"/>
      <c r="L11" s="1005"/>
      <c r="M11" s="1006" t="s">
        <v>93</v>
      </c>
      <c r="N11" s="1007"/>
      <c r="O11" s="1008"/>
      <c r="P11" s="1009" t="s">
        <v>94</v>
      </c>
      <c r="Q11" s="1010"/>
      <c r="R11" s="1011"/>
      <c r="S11" s="981"/>
      <c r="T11" s="981"/>
      <c r="U11" s="993"/>
      <c r="V11" s="994"/>
      <c r="W11" s="994"/>
      <c r="X11" s="995"/>
    </row>
    <row r="12" spans="1:25" ht="16.2" customHeight="1" thickTop="1" thickBot="1" x14ac:dyDescent="0.35">
      <c r="D12" s="112"/>
      <c r="E12" s="837" t="str">
        <f>REP.highlightdown</f>
        <v>A Fall of 3% or more</v>
      </c>
      <c r="F12" s="838"/>
      <c r="G12" s="184" t="s">
        <v>26</v>
      </c>
      <c r="H12" s="184" t="s">
        <v>27</v>
      </c>
      <c r="I12" s="184" t="s">
        <v>28</v>
      </c>
      <c r="J12" s="185" t="s">
        <v>29</v>
      </c>
      <c r="K12" s="185" t="s">
        <v>30</v>
      </c>
      <c r="L12" s="185" t="s">
        <v>31</v>
      </c>
      <c r="M12" s="186" t="s">
        <v>32</v>
      </c>
      <c r="N12" s="186" t="s">
        <v>33</v>
      </c>
      <c r="O12" s="186" t="s">
        <v>34</v>
      </c>
      <c r="P12" s="187" t="s">
        <v>35</v>
      </c>
      <c r="Q12" s="187" t="s">
        <v>36</v>
      </c>
      <c r="R12" s="187" t="s">
        <v>37</v>
      </c>
      <c r="S12" s="982"/>
      <c r="T12" s="982"/>
      <c r="U12" s="188" t="s">
        <v>91</v>
      </c>
      <c r="V12" s="189" t="s">
        <v>92</v>
      </c>
      <c r="W12" s="190" t="s">
        <v>93</v>
      </c>
      <c r="X12" s="191" t="s">
        <v>94</v>
      </c>
    </row>
    <row r="13" spans="1:25" ht="16.2" customHeight="1" thickTop="1" thickBot="1" x14ac:dyDescent="0.35">
      <c r="D13" s="112"/>
      <c r="E13" s="996" t="str">
        <f>"% Change "&amp;MIN(REP.yearsrange)&amp;" to "&amp;MAX(REP.yearsrange)</f>
        <v>% Change 2011 to 2022</v>
      </c>
      <c r="F13" s="996"/>
      <c r="G13" s="135">
        <f ca="1">IFERROR(INDEX(G$16:G$27,MATCH(MAX(REP.yearsrange),$E$16:$E$27,0))/INDEX(G$16:G$27,MATCH(MIN(REP.yearsrange),$E$16:$E$27,0))-1,"")</f>
        <v>1.2633844513652388</v>
      </c>
      <c r="H13" s="135">
        <f ca="1">IFERROR(INDEX(H$16:H$27,MATCH(MAX(REP.yearsrange),$E$16:$E$27,0))/INDEX(H$16:H$27,MATCH(MIN(REP.yearsrange),$E$16:$E$27,0))-1,"")</f>
        <v>1.1048668025990942</v>
      </c>
      <c r="I13" s="135">
        <f ca="1">IFERROR(INDEX(I$16:I$27,MATCH(MAX(REP.yearsrange),$E$16:$E$27,0))/INDEX(I$16:I$27,MATCH(MIN(REP.yearsrange),$E$16:$E$27,0))-1,"")</f>
        <v>2.4865912204037897</v>
      </c>
      <c r="J13" s="135">
        <f ca="1">IFERROR(INDEX(J$16:J$27,MATCH(MAX(REP.yearsrange),$E$16:$E$27,0))/INDEX(J$16:J$27,MATCH(MIN(REP.yearsrange),$E$16:$E$27,0))-1,"")</f>
        <v>-0.11900363046002449</v>
      </c>
      <c r="K13" s="135">
        <f ca="1">IFERROR(INDEX(K$16:K$27,MATCH(MAX(REP.yearsrange),$E$16:$E$27,0))/INDEX(K$16:K$27,MATCH(MIN(REP.yearsrange),$E$16:$E$27,0))-1,"")</f>
        <v>5.3811412267958936E-3</v>
      </c>
      <c r="L13" s="135">
        <f ca="1">IFERROR(INDEX(L$16:L$27,MATCH(MAX(REP.yearsrange),$E$16:$E$27,0))/INDEX(L$16:L$27,MATCH(MIN(REP.yearsrange),$E$16:$E$27,0))-1,"")</f>
        <v>-1.3638004644552337E-2</v>
      </c>
      <c r="M13" s="135">
        <f ca="1">IFERROR(INDEX(M$16:M$27,MATCH(MAX(REP.yearsrange),$E$16:$E$27,0))/INDEX(M$16:M$27,MATCH(MIN(REP.yearsrange),$E$16:$E$27,0))-1,"")</f>
        <v>-4.898014715826049E-2</v>
      </c>
      <c r="N13" s="135">
        <f ca="1">IFERROR(INDEX(N$16:N$27,MATCH(MAX(REP.yearsrange),$E$16:$E$27,0))/INDEX(N$16:N$27,MATCH(MIN(REP.yearsrange),$E$16:$E$27,0))-1,"")</f>
        <v>-1.069661374019748E-2</v>
      </c>
      <c r="O13" s="135">
        <f ca="1">IFERROR(INDEX(O$16:O$27,MATCH(MAX(REP.yearsrange),$E$16:$E$27,0))/INDEX(O$16:O$27,MATCH(MIN(REP.yearsrange),$E$16:$E$27,0))-1,"")</f>
        <v>5.2223537096449002E-2</v>
      </c>
      <c r="P13" s="135">
        <f ca="1">IFERROR(INDEX(P$16:P$27,MATCH(MAX(REP.yearsrange),$E$16:$E$27,0))/INDEX(P$16:P$27,MATCH(MIN(REP.yearsrange),$E$16:$E$27,0))-1,"")</f>
        <v>0.38911294166985311</v>
      </c>
      <c r="Q13" s="135">
        <f ca="1">IFERROR(INDEX(Q$16:Q$27,MATCH(MAX(REP.yearsrange),$E$16:$E$27,0))/INDEX(Q$16:Q$27,MATCH(MIN(REP.yearsrange),$E$16:$E$27,0))-1,"")</f>
        <v>1.552754218410676</v>
      </c>
      <c r="R13" s="135">
        <f ca="1">IFERROR(INDEX(R$16:R$27,MATCH(MAX(REP.yearsrange),$E$16:$E$27,0))/INDEX(R$16:R$27,MATCH(MIN(REP.yearsrange),$E$16:$E$27,0))-1,"")</f>
        <v>1.5153995118411299</v>
      </c>
      <c r="S13" s="135">
        <f ca="1">IFERROR(INDEX(S$16:S$27,MATCH(MAX(REP.yearsrange),$E$16:$E$27,0))/INDEX(S$16:S$27,MATCH(MIN(REP.yearsrange),$E$16:$E$27,0))-1,"")</f>
        <v>0.19860997634587529</v>
      </c>
      <c r="T13" s="997" t="str">
        <f>"Annual"&amp;CHAR(10)&amp;"Change"</f>
        <v>Annual
Change</v>
      </c>
      <c r="U13" s="135">
        <f ca="1">IFERROR(INDEX(U$16:U$27,MATCH(MAX(REP.yearsrange),$E$16:$E$27,0))/INDEX(U$16:U$27,MATCH(MIN(REP.yearsrange),$E$16:$E$27,0))-1,"")</f>
        <v>1.7427200446531388</v>
      </c>
      <c r="V13" s="135">
        <f ca="1">IFERROR(INDEX(V$16:V$27,MATCH(MAX(REP.yearsrange),$E$16:$E$27,0))/INDEX(V$16:V$27,MATCH(MIN(REP.yearsrange),$E$16:$E$27,0))-1,"")</f>
        <v>-4.0972414988417083E-2</v>
      </c>
      <c r="W13" s="135">
        <f ca="1">IFERROR(INDEX(W$16:W$27,MATCH(MAX(REP.yearsrange),$E$16:$E$27,0))/INDEX(W$16:W$27,MATCH(MIN(REP.yearsrange),$E$16:$E$27,0))-1,"")</f>
        <v>-8.1245871594850527E-3</v>
      </c>
      <c r="X13" s="135">
        <f ca="1">IFERROR(INDEX(X$16:X$27,MATCH(MAX(REP.yearsrange),$E$16:$E$27,0))/INDEX(X$16:X$27,MATCH(MIN(REP.yearsrange),$E$16:$E$27,0))-1,"")</f>
        <v>0.81630591419221554</v>
      </c>
    </row>
    <row r="14" spans="1:25" ht="16.2" customHeight="1" thickTop="1" thickBot="1" x14ac:dyDescent="0.35">
      <c r="D14" s="112"/>
      <c r="E14" s="996" t="str">
        <f>"% Change "&amp;INDEX(REP.yearsrange,COUNT(REP.yearsrange)-1)&amp;" to "&amp;MAX(REP.yearsrange)</f>
        <v>% Change 2021 to 2022</v>
      </c>
      <c r="F14" s="996"/>
      <c r="G14" s="135" t="str">
        <f ca="1">IFERROR(INDEX(G$16:G$27,MATCH(MAX(REP.yearsrange),$E$16:$E$27,0))/INDEX(G$16:G$27,MATCH(INDEX(REP.yearsrange,COUNT(REP.yearsrange)-1),$E$16:$E$27,0))-1,"")</f>
        <v/>
      </c>
      <c r="H14" s="135" t="str">
        <f ca="1">IFERROR(INDEX(H$16:H$27,MATCH(MAX(REP.yearsrange),$E$16:$E$27,0))/INDEX(H$16:H$27,MATCH(INDEX(REP.yearsrange,COUNT(REP.yearsrange)-1),$E$16:$E$27,0))-1,"")</f>
        <v/>
      </c>
      <c r="I14" s="135">
        <f ca="1">IFERROR(INDEX(I$16:I$27,MATCH(MAX(REP.yearsrange),$E$16:$E$27,0))/INDEX(I$16:I$27,MATCH(INDEX(REP.yearsrange,COUNT(REP.yearsrange)-1),$E$16:$E$27,0))-1,"")</f>
        <v>5.879933799259927</v>
      </c>
      <c r="J14" s="135">
        <f ca="1">IFERROR(INDEX(J$16:J$27,MATCH(MAX(REP.yearsrange),$E$16:$E$27,0))/INDEX(J$16:J$27,MATCH(INDEX(REP.yearsrange,COUNT(REP.yearsrange)-1),$E$16:$E$27,0))-1,"")</f>
        <v>0.99283830845091803</v>
      </c>
      <c r="K14" s="135">
        <f ca="1">IFERROR(INDEX(K$16:K$27,MATCH(MAX(REP.yearsrange),$E$16:$E$27,0))/INDEX(K$16:K$27,MATCH(INDEX(REP.yearsrange,COUNT(REP.yearsrange)-1),$E$16:$E$27,0))-1,"")</f>
        <v>0.76829976974588066</v>
      </c>
      <c r="L14" s="135">
        <f ca="1">IFERROR(INDEX(L$16:L$27,MATCH(MAX(REP.yearsrange),$E$16:$E$27,0))/INDEX(L$16:L$27,MATCH(INDEX(REP.yearsrange,COUNT(REP.yearsrange)-1),$E$16:$E$27,0))-1,"")</f>
        <v>3.055511053927229E-2</v>
      </c>
      <c r="M14" s="135">
        <f ca="1">IFERROR(INDEX(M$16:M$27,MATCH(MAX(REP.yearsrange),$E$16:$E$27,0))/INDEX(M$16:M$27,MATCH(INDEX(REP.yearsrange,COUNT(REP.yearsrange)-1),$E$16:$E$27,0))-1,"")</f>
        <v>3.2550234597859884E-2</v>
      </c>
      <c r="N14" s="135">
        <f ca="1">IFERROR(INDEX(N$16:N$27,MATCH(MAX(REP.yearsrange),$E$16:$E$27,0))/INDEX(N$16:N$27,MATCH(INDEX(REP.yearsrange,COUNT(REP.yearsrange)-1),$E$16:$E$27,0))-1,"")</f>
        <v>-7.5309046129965362E-2</v>
      </c>
      <c r="O14" s="135">
        <f ca="1">IFERROR(INDEX(O$16:O$27,MATCH(MAX(REP.yearsrange),$E$16:$E$27,0))/INDEX(O$16:O$27,MATCH(INDEX(REP.yearsrange,COUNT(REP.yearsrange)-1),$E$16:$E$27,0))-1,"")</f>
        <v>-0.20218956898421048</v>
      </c>
      <c r="P14" s="135">
        <f ca="1">IFERROR(INDEX(P$16:P$27,MATCH(MAX(REP.yearsrange),$E$16:$E$27,0))/INDEX(P$16:P$27,MATCH(INDEX(REP.yearsrange,COUNT(REP.yearsrange)-1),$E$16:$E$27,0))-1,"")</f>
        <v>-0.23003543316430075</v>
      </c>
      <c r="Q14" s="135">
        <f ca="1">IFERROR(INDEX(Q$16:Q$27,MATCH(MAX(REP.yearsrange),$E$16:$E$27,0))/INDEX(Q$16:Q$27,MATCH(INDEX(REP.yearsrange,COUNT(REP.yearsrange)-1),$E$16:$E$27,0))-1,"")</f>
        <v>0.30630323027865014</v>
      </c>
      <c r="R14" s="135">
        <f ca="1">IFERROR(INDEX(R$16:R$27,MATCH(MAX(REP.yearsrange),$E$16:$E$27,0))/INDEX(R$16:R$27,MATCH(INDEX(REP.yearsrange,COUNT(REP.yearsrange)-1),$E$16:$E$27,0))-1,"")</f>
        <v>2.9471581643709444E-2</v>
      </c>
      <c r="S14" s="135">
        <f ca="1">IFERROR(INDEX(S$16:S$27,MATCH(MAX(REP.yearsrange),$E$16:$E$27,0))/INDEX(S$16:S$27,MATCH(INDEX(REP.yearsrange,COUNT(REP.yearsrange)-1),$E$16:$E$27,0))-1,"")</f>
        <v>0.23197654419366809</v>
      </c>
      <c r="T14" s="997"/>
      <c r="U14" s="135">
        <f ca="1">IFERROR(INDEX(U$16:U$27,MATCH(MAX(REP.yearsrange),$E$16:$E$27,0))/INDEX(U$16:U$27,MATCH(INDEX(REP.yearsrange,COUNT(REP.yearsrange)-1),$E$16:$E$27,0))-1,"")</f>
        <v>11.502067779482831</v>
      </c>
      <c r="V14" s="135">
        <f ca="1">IFERROR(INDEX(V$16:V$27,MATCH(MAX(REP.yearsrange),$E$16:$E$27,0))/INDEX(V$16:V$27,MATCH(INDEX(REP.yearsrange,COUNT(REP.yearsrange)-1),$E$16:$E$27,0))-1,"")</f>
        <v>0.43122203108213153</v>
      </c>
      <c r="W14" s="135">
        <f ca="1">IFERROR(INDEX(W$16:W$27,MATCH(MAX(REP.yearsrange),$E$16:$E$27,0))/INDEX(W$16:W$27,MATCH(INDEX(REP.yearsrange,COUNT(REP.yearsrange)-1),$E$16:$E$27,0))-1,"")</f>
        <v>-8.2454462733808409E-2</v>
      </c>
      <c r="X14" s="135">
        <f ca="1">IFERROR(INDEX(X$16:X$27,MATCH(MAX(REP.yearsrange),$E$16:$E$27,0))/INDEX(X$16:X$27,MATCH(INDEX(REP.yearsrange,COUNT(REP.yearsrange)-1),$E$16:$E$27,0))-1,"")</f>
        <v>-6.6823241199457817E-2</v>
      </c>
    </row>
    <row r="15" spans="1:25" ht="16.2" customHeight="1" thickTop="1" thickBot="1" x14ac:dyDescent="0.35">
      <c r="D15" s="112"/>
      <c r="E15" s="996" t="s">
        <v>116</v>
      </c>
      <c r="F15" s="996"/>
      <c r="G15" s="135">
        <f ca="1">IFERROR(G13/(MAX(REP.yearsrange)-MIN(REP.yearsrange)),"")</f>
        <v>0.11485313194229443</v>
      </c>
      <c r="H15" s="135">
        <f ca="1">IFERROR(H13/(MAX(REP.yearsrange)-MIN(REP.yearsrange)),"")</f>
        <v>0.10044243659991765</v>
      </c>
      <c r="I15" s="135">
        <f ca="1">IFERROR(I13/(MAX(REP.yearsrange)-MIN(REP.yearsrange)),"")</f>
        <v>0.22605374730943542</v>
      </c>
      <c r="J15" s="135">
        <f ca="1">IFERROR(J13/(MAX(REP.yearsrange)-MIN(REP.yearsrange)),"")</f>
        <v>-1.0818511860002227E-2</v>
      </c>
      <c r="K15" s="135">
        <f ca="1">IFERROR(K13/(MAX(REP.yearsrange)-MIN(REP.yearsrange)),"")</f>
        <v>4.8919465698144492E-4</v>
      </c>
      <c r="L15" s="135">
        <f ca="1">IFERROR(L13/(MAX(REP.yearsrange)-MIN(REP.yearsrange)),"")</f>
        <v>-1.2398186040502126E-3</v>
      </c>
      <c r="M15" s="135">
        <f ca="1">IFERROR(M13/(MAX(REP.yearsrange)-MIN(REP.yearsrange)),"")</f>
        <v>-4.4527406507509533E-3</v>
      </c>
      <c r="N15" s="135">
        <f ca="1">IFERROR(N13/(MAX(REP.yearsrange)-MIN(REP.yearsrange)),"")</f>
        <v>-9.724194309270437E-4</v>
      </c>
      <c r="O15" s="135">
        <f ca="1">IFERROR(O13/(MAX(REP.yearsrange)-MIN(REP.yearsrange)),"")</f>
        <v>4.7475942814953634E-3</v>
      </c>
      <c r="P15" s="135">
        <f ca="1">IFERROR(P13/(MAX(REP.yearsrange)-MIN(REP.yearsrange)),"")</f>
        <v>3.5373903788168466E-2</v>
      </c>
      <c r="Q15" s="135">
        <f ca="1">IFERROR(Q13/(MAX(REP.yearsrange)-MIN(REP.yearsrange)),"")</f>
        <v>0.14115947440097054</v>
      </c>
      <c r="R15" s="135">
        <f ca="1">IFERROR(R13/(MAX(REP.yearsrange)-MIN(REP.yearsrange)),"")</f>
        <v>0.13776359198555727</v>
      </c>
      <c r="S15" s="135">
        <f ca="1">IFERROR(S13/(MAX(REP.yearsrange)-MIN(REP.yearsrange)),"")</f>
        <v>1.8055452395079573E-2</v>
      </c>
      <c r="T15" s="997"/>
      <c r="U15" s="135">
        <f ca="1">IFERROR(U13/(MAX(REP.yearsrange)-MIN(REP.yearsrange)),"")</f>
        <v>0.15842909496846716</v>
      </c>
      <c r="V15" s="135">
        <f ca="1">IFERROR(V13/(MAX(REP.yearsrange)-MIN(REP.yearsrange)),"")</f>
        <v>-3.7247649989470073E-3</v>
      </c>
      <c r="W15" s="135">
        <f ca="1">IFERROR(W13/(MAX(REP.yearsrange)-MIN(REP.yearsrange)),"")</f>
        <v>-7.3859883268045934E-4</v>
      </c>
      <c r="X15" s="135">
        <f ca="1">IFERROR(X13/(MAX(REP.yearsrange)-MIN(REP.yearsrange)),"")</f>
        <v>7.4209628562928689E-2</v>
      </c>
    </row>
    <row r="16" spans="1:25" ht="16.2" customHeight="1" thickTop="1" thickBot="1" x14ac:dyDescent="0.35">
      <c r="D16" s="112"/>
      <c r="E16" s="193">
        <f t="array" ref="E16:E27">INDEX(REP.yearsrange,REP.yearnos)</f>
        <v>2011</v>
      </c>
      <c r="F16" s="194" t="str">
        <f ca="1">IF($A$2=1,"£000s",IF(A2=1000,"£M","£Bn"))</f>
        <v>£M</v>
      </c>
      <c r="G16" s="589">
        <f t="array" aca="1" ref="G16:G27" ca="1">EI.MONTHLYDATA</f>
        <v>22.523827424589197</v>
      </c>
      <c r="H16" s="589">
        <f t="array" aca="1" ref="H16:H27" ca="1">EI.MONTHLYDATA</f>
        <v>28.464349640332728</v>
      </c>
      <c r="I16" s="589">
        <f t="array" aca="1" ref="I16:I27" ca="1">EI.MONTHLYDATA</f>
        <v>38.921456868535692</v>
      </c>
      <c r="J16" s="590">
        <f t="array" aca="1" ref="J16:J27" ca="1">EI.MONTHLYDATA</f>
        <v>143.53749407920068</v>
      </c>
      <c r="K16" s="590">
        <f t="array" aca="1" ref="K16:K27" ca="1">EI.MONTHLYDATA</f>
        <v>144.30295964824816</v>
      </c>
      <c r="L16" s="590">
        <f t="array" aca="1" ref="L16:L27" ca="1">EI.MONTHLYDATA</f>
        <v>165.04653731023728</v>
      </c>
      <c r="M16" s="591">
        <f t="array" aca="1" ref="M16:M27" ca="1">EI.MONTHLYDATA</f>
        <v>207.90792552366412</v>
      </c>
      <c r="N16" s="591">
        <f t="array" aca="1" ref="N16:N27" ca="1">EI.MONTHLYDATA</f>
        <v>224.17335523154526</v>
      </c>
      <c r="O16" s="591">
        <f t="array" aca="1" ref="O16:O27" ca="1">EI.MONTHLYDATA</f>
        <v>150.3074812288672</v>
      </c>
      <c r="P16" s="592">
        <f t="array" aca="1" ref="P16:P27" ca="1">EI.MONTHLYDATA</f>
        <v>91.461974653084567</v>
      </c>
      <c r="Q16" s="592">
        <f t="array" aca="1" ref="Q16:Q27" ca="1">EI.MONTHLYDATA</f>
        <v>28.633933440962917</v>
      </c>
      <c r="R16" s="592">
        <f t="array" aca="1" ref="R16:R27" ca="1">EI.MONTHLYDATA</f>
        <v>25.725455303263516</v>
      </c>
      <c r="S16" s="593">
        <f t="array" aca="1" ref="S16:S27" ca="1">EI.MONTHLYDATA</f>
        <v>1271.0067503525315</v>
      </c>
      <c r="T16" s="997"/>
      <c r="U16" s="589">
        <f ca="1">IF(SUM(G16:I16)=0,"",SUM(G16:I16))</f>
        <v>89.909633933457627</v>
      </c>
      <c r="V16" s="590">
        <f ca="1">IF(SUM(J16:L16)=0,"",SUM(J16:L16))</f>
        <v>452.88699103768613</v>
      </c>
      <c r="W16" s="591">
        <f ca="1">IF(SUM(M16:O16)=0,"",SUM(M16:O16))</f>
        <v>582.38876198407661</v>
      </c>
      <c r="X16" s="592">
        <f ca="1">IF(SUM(P16:R16)=0,"",SUM(P16:R16))</f>
        <v>145.82136339731102</v>
      </c>
      <c r="Y16" s="93"/>
    </row>
    <row r="17" spans="4:35" ht="16.2" customHeight="1" thickTop="1" thickBot="1" x14ac:dyDescent="0.35">
      <c r="D17" s="112"/>
      <c r="E17" s="193">
        <v>2012</v>
      </c>
      <c r="F17" s="194" t="str">
        <f t="shared" ref="F17:F25" ca="1" si="0">$F$16</f>
        <v>£M</v>
      </c>
      <c r="G17" s="589">
        <f ca="1"/>
        <v>20.715703226972128</v>
      </c>
      <c r="H17" s="589">
        <f ca="1"/>
        <v>24.038841566339244</v>
      </c>
      <c r="I17" s="589">
        <f ca="1"/>
        <v>41.875164745058079</v>
      </c>
      <c r="J17" s="590">
        <f ca="1"/>
        <v>110.80667188848204</v>
      </c>
      <c r="K17" s="590">
        <f ca="1"/>
        <v>111.25146839420717</v>
      </c>
      <c r="L17" s="590">
        <f ca="1"/>
        <v>152.74781087875655</v>
      </c>
      <c r="M17" s="591">
        <f ca="1"/>
        <v>178.38438026509914</v>
      </c>
      <c r="N17" s="591">
        <f ca="1"/>
        <v>209.31538726405822</v>
      </c>
      <c r="O17" s="591">
        <f ca="1"/>
        <v>139.24614879592579</v>
      </c>
      <c r="P17" s="592">
        <f ca="1"/>
        <v>100.49967215817496</v>
      </c>
      <c r="Q17" s="592">
        <f ca="1"/>
        <v>25.880125196595408</v>
      </c>
      <c r="R17" s="592">
        <f ca="1"/>
        <v>23.484774515775118</v>
      </c>
      <c r="S17" s="593">
        <f ca="1"/>
        <v>1138.2461488954439</v>
      </c>
      <c r="T17" s="195">
        <f ca="1">IFERROR(IF(S17&lt;&gt;0,S17/S16-1,""),"")</f>
        <v>-0.10445310492667692</v>
      </c>
      <c r="U17" s="589">
        <f t="shared" ref="U17:U26" ca="1" si="1">IF(SUM(G17:I17)=0,"",SUM(G17:I17))</f>
        <v>86.62970953836944</v>
      </c>
      <c r="V17" s="590">
        <f t="shared" ref="V17:V26" ca="1" si="2">IF(SUM(J17:L17)=0,"",SUM(J17:L17))</f>
        <v>374.80595116144576</v>
      </c>
      <c r="W17" s="591">
        <f t="shared" ref="W17:W26" ca="1" si="3">IF(SUM(M17:O17)=0,"",SUM(M17:O17))</f>
        <v>526.9459163250832</v>
      </c>
      <c r="X17" s="592">
        <f t="shared" ref="X17:X26" ca="1" si="4">IF(SUM(P17:R17)=0,"",SUM(P17:R17))</f>
        <v>149.86457187054549</v>
      </c>
    </row>
    <row r="18" spans="4:35" ht="16.2" customHeight="1" thickTop="1" thickBot="1" x14ac:dyDescent="0.35">
      <c r="D18" s="112"/>
      <c r="E18" s="193">
        <v>2013</v>
      </c>
      <c r="F18" s="194" t="str">
        <f t="shared" ca="1" si="0"/>
        <v>£M</v>
      </c>
      <c r="G18" s="589">
        <f ca="1"/>
        <v>26.710164520324902</v>
      </c>
      <c r="H18" s="589">
        <f ca="1"/>
        <v>32.144771720763956</v>
      </c>
      <c r="I18" s="589">
        <f ca="1"/>
        <v>83.166377722930079</v>
      </c>
      <c r="J18" s="590">
        <f ca="1"/>
        <v>105.96527181789095</v>
      </c>
      <c r="K18" s="590">
        <f ca="1"/>
        <v>117.12942452629204</v>
      </c>
      <c r="L18" s="590">
        <f ca="1"/>
        <v>136.88313225586887</v>
      </c>
      <c r="M18" s="591">
        <f ca="1"/>
        <v>176.70026745967348</v>
      </c>
      <c r="N18" s="591">
        <f ca="1"/>
        <v>202.75787170305577</v>
      </c>
      <c r="O18" s="591">
        <f ca="1"/>
        <v>128.74780848703799</v>
      </c>
      <c r="P18" s="592">
        <f ca="1"/>
        <v>92.592618501437357</v>
      </c>
      <c r="Q18" s="592">
        <f ca="1"/>
        <v>40.939905932924823</v>
      </c>
      <c r="R18" s="592">
        <f ca="1"/>
        <v>34.816584559324724</v>
      </c>
      <c r="S18" s="593">
        <f ca="1"/>
        <v>1178.554199207525</v>
      </c>
      <c r="T18" s="195">
        <f t="shared" ref="T18:T27" ca="1" si="5">IFERROR(IF(S18&lt;&gt;0,S18/S17-1,""),"")</f>
        <v>3.5412419669678785E-2</v>
      </c>
      <c r="U18" s="589">
        <f t="shared" ca="1" si="1"/>
        <v>142.02131396401893</v>
      </c>
      <c r="V18" s="590">
        <f t="shared" ca="1" si="2"/>
        <v>359.97782860005185</v>
      </c>
      <c r="W18" s="591">
        <f t="shared" ca="1" si="3"/>
        <v>508.20594764976727</v>
      </c>
      <c r="X18" s="592">
        <f t="shared" ca="1" si="4"/>
        <v>168.34910899368691</v>
      </c>
    </row>
    <row r="19" spans="4:35" ht="16.2" customHeight="1" thickTop="1" thickBot="1" x14ac:dyDescent="0.35">
      <c r="D19" s="112"/>
      <c r="E19" s="193">
        <v>2014</v>
      </c>
      <c r="F19" s="194" t="str">
        <f t="shared" ca="1" si="0"/>
        <v>£M</v>
      </c>
      <c r="G19" s="589">
        <f ca="1"/>
        <v>25.529942369178372</v>
      </c>
      <c r="H19" s="589">
        <f ca="1"/>
        <v>38.038914277630461</v>
      </c>
      <c r="I19" s="589">
        <f ca="1"/>
        <v>97.583552548840728</v>
      </c>
      <c r="J19" s="590">
        <f ca="1"/>
        <v>111.16851519507021</v>
      </c>
      <c r="K19" s="590">
        <f ca="1"/>
        <v>122.96079761899048</v>
      </c>
      <c r="L19" s="590">
        <f ca="1"/>
        <v>135.40698238185431</v>
      </c>
      <c r="M19" s="591">
        <f ca="1"/>
        <v>183.30898401038144</v>
      </c>
      <c r="N19" s="591">
        <f ca="1"/>
        <v>209.22038258418127</v>
      </c>
      <c r="O19" s="591">
        <f ca="1"/>
        <v>133.17346586634636</v>
      </c>
      <c r="P19" s="592">
        <f ca="1"/>
        <v>91.049970008741653</v>
      </c>
      <c r="Q19" s="592">
        <f ca="1"/>
        <v>37.845192330306574</v>
      </c>
      <c r="R19" s="592">
        <f ca="1"/>
        <v>41.333844761334269</v>
      </c>
      <c r="S19" s="593">
        <f ca="1"/>
        <v>1226.6205439528562</v>
      </c>
      <c r="T19" s="195">
        <f t="shared" ca="1" si="5"/>
        <v>4.0784161456173695E-2</v>
      </c>
      <c r="U19" s="589">
        <f t="shared" ca="1" si="1"/>
        <v>161.15240919564957</v>
      </c>
      <c r="V19" s="590">
        <f t="shared" ca="1" si="2"/>
        <v>369.53629519591505</v>
      </c>
      <c r="W19" s="591">
        <f t="shared" ca="1" si="3"/>
        <v>525.70283246090912</v>
      </c>
      <c r="X19" s="592">
        <f t="shared" ca="1" si="4"/>
        <v>170.22900710038249</v>
      </c>
    </row>
    <row r="20" spans="4:35" ht="16.2" customHeight="1" thickTop="1" thickBot="1" x14ac:dyDescent="0.35">
      <c r="D20" s="112"/>
      <c r="E20" s="193">
        <v>2015</v>
      </c>
      <c r="F20" s="194" t="str">
        <f t="shared" ca="1" si="0"/>
        <v>£M</v>
      </c>
      <c r="G20" s="589">
        <f ca="1"/>
        <v>23.522477281507943</v>
      </c>
      <c r="H20" s="589">
        <f ca="1"/>
        <v>35.295551911496524</v>
      </c>
      <c r="I20" s="589">
        <f ca="1"/>
        <v>98.052032477658514</v>
      </c>
      <c r="J20" s="590">
        <f ca="1"/>
        <v>99.402393765138243</v>
      </c>
      <c r="K20" s="590">
        <f ca="1"/>
        <v>117.38561062629446</v>
      </c>
      <c r="L20" s="590">
        <f ca="1"/>
        <v>128.95152849437622</v>
      </c>
      <c r="M20" s="591">
        <f ca="1"/>
        <v>186.94293243258909</v>
      </c>
      <c r="N20" s="591">
        <f ca="1"/>
        <v>213.66400697074815</v>
      </c>
      <c r="O20" s="591">
        <f ca="1"/>
        <v>115.50782316221549</v>
      </c>
      <c r="P20" s="592">
        <f ca="1"/>
        <v>92.572579895126694</v>
      </c>
      <c r="Q20" s="592">
        <f ca="1"/>
        <v>50.110987730791216</v>
      </c>
      <c r="R20" s="592">
        <f ca="1"/>
        <v>37.660053284727795</v>
      </c>
      <c r="S20" s="593">
        <f ca="1"/>
        <v>1199.0679780326702</v>
      </c>
      <c r="T20" s="195">
        <f t="shared" ca="1" si="5"/>
        <v>-2.2462175491856917E-2</v>
      </c>
      <c r="U20" s="589">
        <f t="shared" ca="1" si="1"/>
        <v>156.87006167066298</v>
      </c>
      <c r="V20" s="590">
        <f t="shared" ca="1" si="2"/>
        <v>345.7395328858089</v>
      </c>
      <c r="W20" s="591">
        <f t="shared" ca="1" si="3"/>
        <v>516.11476256555272</v>
      </c>
      <c r="X20" s="592">
        <f t="shared" ca="1" si="4"/>
        <v>180.34362091064571</v>
      </c>
    </row>
    <row r="21" spans="4:35" ht="16.2" customHeight="1" thickTop="1" thickBot="1" x14ac:dyDescent="0.35">
      <c r="D21" s="112"/>
      <c r="E21" s="193">
        <v>2016</v>
      </c>
      <c r="F21" s="194" t="str">
        <f t="shared" ca="1" si="0"/>
        <v>£M</v>
      </c>
      <c r="G21" s="589">
        <f ca="1"/>
        <v>24.73725417682941</v>
      </c>
      <c r="H21" s="589">
        <f ca="1"/>
        <v>38.402402731236421</v>
      </c>
      <c r="I21" s="589">
        <f ca="1"/>
        <v>125.29350581620574</v>
      </c>
      <c r="J21" s="590">
        <f ca="1"/>
        <v>93.071099030489322</v>
      </c>
      <c r="K21" s="590">
        <f ca="1"/>
        <v>107.9855803545972</v>
      </c>
      <c r="L21" s="590">
        <f ca="1"/>
        <v>130.23077711677774</v>
      </c>
      <c r="M21" s="591">
        <f ca="1"/>
        <v>172.67678400929742</v>
      </c>
      <c r="N21" s="591">
        <f ca="1"/>
        <v>204.58931125198461</v>
      </c>
      <c r="O21" s="591">
        <f ca="1"/>
        <v>129.65455796581969</v>
      </c>
      <c r="P21" s="592">
        <f ca="1"/>
        <v>99.217076218660523</v>
      </c>
      <c r="Q21" s="592">
        <f ca="1"/>
        <v>61.425099556590411</v>
      </c>
      <c r="R21" s="592">
        <f ca="1"/>
        <v>49.481650692329389</v>
      </c>
      <c r="S21" s="593">
        <f ca="1"/>
        <v>1236.7650989208178</v>
      </c>
      <c r="T21" s="195">
        <f t="shared" ca="1" si="5"/>
        <v>3.1438685361273588E-2</v>
      </c>
      <c r="U21" s="589">
        <f t="shared" ca="1" si="1"/>
        <v>188.43316272427157</v>
      </c>
      <c r="V21" s="590">
        <f t="shared" ca="1" si="2"/>
        <v>331.28745650186426</v>
      </c>
      <c r="W21" s="591">
        <f t="shared" ca="1" si="3"/>
        <v>506.92065322710175</v>
      </c>
      <c r="X21" s="592">
        <f t="shared" ca="1" si="4"/>
        <v>210.12382646758033</v>
      </c>
    </row>
    <row r="22" spans="4:35" ht="16.2" customHeight="1" thickTop="1" thickBot="1" x14ac:dyDescent="0.35">
      <c r="D22" s="112"/>
      <c r="E22" s="193">
        <v>2017</v>
      </c>
      <c r="F22" s="194" t="str">
        <f t="shared" ca="1" si="0"/>
        <v>£M</v>
      </c>
      <c r="G22" s="589">
        <f ca="1"/>
        <v>31.896895504611443</v>
      </c>
      <c r="H22" s="589">
        <f ca="1"/>
        <v>46.262856655154195</v>
      </c>
      <c r="I22" s="589">
        <f ca="1"/>
        <v>111.83233290945772</v>
      </c>
      <c r="J22" s="590">
        <f ca="1"/>
        <v>114.20410901539027</v>
      </c>
      <c r="K22" s="590">
        <f ca="1"/>
        <v>113.28467732398882</v>
      </c>
      <c r="L22" s="590">
        <f ca="1"/>
        <v>145.29103361852327</v>
      </c>
      <c r="M22" s="591">
        <f ca="1"/>
        <v>171.26662629820561</v>
      </c>
      <c r="N22" s="591">
        <f ca="1"/>
        <v>206.09884482726721</v>
      </c>
      <c r="O22" s="591">
        <f ca="1"/>
        <v>135.60388030626876</v>
      </c>
      <c r="P22" s="592">
        <f ca="1"/>
        <v>101.79103250116231</v>
      </c>
      <c r="Q22" s="592">
        <f ca="1"/>
        <v>62.292788692455765</v>
      </c>
      <c r="R22" s="592">
        <f ca="1"/>
        <v>51.858135411911228</v>
      </c>
      <c r="S22" s="593">
        <f ca="1"/>
        <v>1291.6832130643966</v>
      </c>
      <c r="T22" s="195">
        <f t="shared" ca="1" si="5"/>
        <v>4.440464417333545E-2</v>
      </c>
      <c r="U22" s="589">
        <f t="shared" ca="1" si="1"/>
        <v>189.99208506922338</v>
      </c>
      <c r="V22" s="590">
        <f t="shared" ca="1" si="2"/>
        <v>372.77981995790236</v>
      </c>
      <c r="W22" s="591">
        <f t="shared" ca="1" si="3"/>
        <v>512.96935143174164</v>
      </c>
      <c r="X22" s="592">
        <f t="shared" ca="1" si="4"/>
        <v>215.9419566055293</v>
      </c>
    </row>
    <row r="23" spans="4:35" ht="16.2" customHeight="1" thickTop="1" thickBot="1" x14ac:dyDescent="0.35">
      <c r="D23" s="112"/>
      <c r="E23" s="193">
        <v>2018</v>
      </c>
      <c r="F23" s="194" t="str">
        <f t="shared" ca="1" si="0"/>
        <v>£M</v>
      </c>
      <c r="G23" s="589">
        <f ca="1"/>
        <v>37.276600853341606</v>
      </c>
      <c r="H23" s="589">
        <f ca="1"/>
        <v>46.315962500093697</v>
      </c>
      <c r="I23" s="589">
        <f ca="1"/>
        <v>117.45689604914293</v>
      </c>
      <c r="J23" s="590">
        <f ca="1"/>
        <v>109.4130503579036</v>
      </c>
      <c r="K23" s="590">
        <f ca="1"/>
        <v>132.35581310350216</v>
      </c>
      <c r="L23" s="590">
        <f ca="1"/>
        <v>159.67176116774277</v>
      </c>
      <c r="M23" s="591">
        <f ca="1"/>
        <v>187.00521269987289</v>
      </c>
      <c r="N23" s="591">
        <f ca="1"/>
        <v>222.66375744790142</v>
      </c>
      <c r="O23" s="591">
        <f ca="1"/>
        <v>148.93748290229721</v>
      </c>
      <c r="P23" s="592">
        <f ca="1"/>
        <v>115.4644451258</v>
      </c>
      <c r="Q23" s="592">
        <f ca="1"/>
        <v>64.942310698589282</v>
      </c>
      <c r="R23" s="592">
        <f ca="1"/>
        <v>42.716139381833649</v>
      </c>
      <c r="S23" s="593">
        <f ca="1"/>
        <v>1384.2194322880209</v>
      </c>
      <c r="T23" s="195">
        <f t="shared" ca="1" si="5"/>
        <v>7.1640026198134921E-2</v>
      </c>
      <c r="U23" s="589">
        <f t="shared" ca="1" si="1"/>
        <v>201.04945940257824</v>
      </c>
      <c r="V23" s="590">
        <f t="shared" ca="1" si="2"/>
        <v>401.44062462914854</v>
      </c>
      <c r="W23" s="591">
        <f t="shared" ca="1" si="3"/>
        <v>558.60645305007154</v>
      </c>
      <c r="X23" s="592">
        <f t="shared" ca="1" si="4"/>
        <v>223.12289520622292</v>
      </c>
    </row>
    <row r="24" spans="4:35" ht="16.2" customHeight="1" thickTop="1" thickBot="1" x14ac:dyDescent="0.35">
      <c r="D24" s="112"/>
      <c r="E24" s="193">
        <v>2019</v>
      </c>
      <c r="F24" s="194" t="str">
        <f t="shared" ca="1" si="0"/>
        <v>£M</v>
      </c>
      <c r="G24" s="589">
        <f ca="1"/>
        <v>42.96289658248925</v>
      </c>
      <c r="H24" s="589">
        <f ca="1"/>
        <v>51.654442167644625</v>
      </c>
      <c r="I24" s="589">
        <f ca="1"/>
        <v>126.28035836625278</v>
      </c>
      <c r="J24" s="590">
        <f ca="1"/>
        <v>132.06513920207595</v>
      </c>
      <c r="K24" s="590">
        <f ca="1"/>
        <v>153.27859778000663</v>
      </c>
      <c r="L24" s="590">
        <f ca="1"/>
        <v>166.51251659779371</v>
      </c>
      <c r="M24" s="591">
        <f ca="1"/>
        <v>198.33031914180179</v>
      </c>
      <c r="N24" s="591">
        <f ca="1"/>
        <v>229.75554204941594</v>
      </c>
      <c r="O24" s="591">
        <f ca="1"/>
        <v>160.72289967917484</v>
      </c>
      <c r="P24" s="592">
        <f ca="1"/>
        <v>121.85692700013371</v>
      </c>
      <c r="Q24" s="592">
        <f ca="1"/>
        <v>67.689171917672127</v>
      </c>
      <c r="R24" s="592">
        <f ca="1"/>
        <v>65.797396477653436</v>
      </c>
      <c r="S24" s="593">
        <f ca="1"/>
        <v>1516.9062069621152</v>
      </c>
      <c r="T24" s="195">
        <f t="shared" ca="1" si="5"/>
        <v>9.5856748994465502E-2</v>
      </c>
      <c r="U24" s="589">
        <f t="shared" ca="1" si="1"/>
        <v>220.89769711638667</v>
      </c>
      <c r="V24" s="590">
        <f t="shared" ca="1" si="2"/>
        <v>451.8562535798763</v>
      </c>
      <c r="W24" s="591">
        <f t="shared" ca="1" si="3"/>
        <v>588.80876087039258</v>
      </c>
      <c r="X24" s="592">
        <f t="shared" ca="1" si="4"/>
        <v>255.34349539545929</v>
      </c>
    </row>
    <row r="25" spans="4:35" ht="16.2" customHeight="1" thickTop="1" thickBot="1" x14ac:dyDescent="0.35">
      <c r="D25" s="112"/>
      <c r="E25" s="193">
        <v>2020</v>
      </c>
      <c r="F25" s="194" t="str">
        <f t="shared" ca="1" si="0"/>
        <v>£M</v>
      </c>
      <c r="G25" s="589">
        <f ca="1"/>
        <v>34.714294683049623</v>
      </c>
      <c r="H25" s="589">
        <f ca="1"/>
        <v>41.509164458602946</v>
      </c>
      <c r="I25" s="589">
        <f ca="1"/>
        <v>85.268769012764452</v>
      </c>
      <c r="J25" s="590">
        <f ca="1"/>
        <v>0</v>
      </c>
      <c r="K25" s="590">
        <f ca="1"/>
        <v>0</v>
      </c>
      <c r="L25" s="590">
        <f ca="1"/>
        <v>2.7107249299035381</v>
      </c>
      <c r="M25" s="591">
        <f ca="1"/>
        <v>64.563966685791542</v>
      </c>
      <c r="N25" s="591">
        <f ca="1"/>
        <v>174.05463133433105</v>
      </c>
      <c r="O25" s="591">
        <f ca="1"/>
        <v>143.35597854391204</v>
      </c>
      <c r="P25" s="592">
        <f ca="1"/>
        <v>57.675484469425236</v>
      </c>
      <c r="Q25" s="592">
        <f ca="1"/>
        <v>16.219460324753506</v>
      </c>
      <c r="R25" s="592">
        <f ca="1"/>
        <v>9.0198803401383163</v>
      </c>
      <c r="S25" s="593">
        <f ca="1"/>
        <v>629.09235478267237</v>
      </c>
      <c r="T25" s="195">
        <f t="shared" ca="1" si="5"/>
        <v>-0.58527933243641606</v>
      </c>
      <c r="U25" s="589">
        <f t="shared" ca="1" si="1"/>
        <v>161.49222815441703</v>
      </c>
      <c r="V25" s="590">
        <f t="shared" ca="1" si="2"/>
        <v>2.7107249299035381</v>
      </c>
      <c r="W25" s="591">
        <f t="shared" ca="1" si="3"/>
        <v>381.97457656403463</v>
      </c>
      <c r="X25" s="592">
        <f t="shared" ca="1" si="4"/>
        <v>82.914825134317056</v>
      </c>
    </row>
    <row r="26" spans="4:35" ht="16.2" customHeight="1" thickTop="1" thickBot="1" x14ac:dyDescent="0.35">
      <c r="D26" s="112"/>
      <c r="E26" s="193">
        <v>2021</v>
      </c>
      <c r="F26" s="194" t="str">
        <f t="shared" ref="F26:F27" ca="1" si="6">$F$30</f>
        <v>£M</v>
      </c>
      <c r="G26" s="589">
        <f ca="1"/>
        <v>0</v>
      </c>
      <c r="H26" s="589">
        <f ca="1"/>
        <v>0</v>
      </c>
      <c r="I26" s="589">
        <f ca="1"/>
        <v>19.724493543492944</v>
      </c>
      <c r="J26" s="590">
        <f ca="1"/>
        <v>63.455228976875141</v>
      </c>
      <c r="K26" s="590">
        <f ca="1"/>
        <v>82.044615248923066</v>
      </c>
      <c r="L26" s="590">
        <f ca="1"/>
        <v>157.9688754176812</v>
      </c>
      <c r="M26" s="591">
        <f ca="1"/>
        <v>191.49147238647697</v>
      </c>
      <c r="N26" s="591">
        <f ca="1"/>
        <v>239.83738405962592</v>
      </c>
      <c r="O26" s="591">
        <f ca="1"/>
        <v>198.23890914703603</v>
      </c>
      <c r="P26" s="592">
        <f ca="1"/>
        <v>165.00890837537844</v>
      </c>
      <c r="Q26" s="592">
        <f ca="1"/>
        <v>55.955916426476627</v>
      </c>
      <c r="R26" s="592">
        <f ca="1"/>
        <v>62.857293844285373</v>
      </c>
      <c r="S26" s="593">
        <f ca="1"/>
        <v>1236.5830974262517</v>
      </c>
      <c r="T26" s="195">
        <f t="shared" ca="1" si="5"/>
        <v>0.96566225614591095</v>
      </c>
      <c r="U26" s="589">
        <f t="shared" ca="1" si="1"/>
        <v>19.724493543492944</v>
      </c>
      <c r="V26" s="590">
        <f t="shared" ca="1" si="2"/>
        <v>303.4687196434794</v>
      </c>
      <c r="W26" s="591">
        <f t="shared" ca="1" si="3"/>
        <v>629.56776559313892</v>
      </c>
      <c r="X26" s="592">
        <f t="shared" ca="1" si="4"/>
        <v>283.82211864614044</v>
      </c>
    </row>
    <row r="27" spans="4:35" ht="16.2" customHeight="1" thickTop="1" thickBot="1" x14ac:dyDescent="0.35">
      <c r="D27" s="112"/>
      <c r="E27" s="193">
        <v>2022</v>
      </c>
      <c r="F27" s="194" t="str">
        <f t="shared" ca="1" si="6"/>
        <v>£M</v>
      </c>
      <c r="G27" s="589">
        <f ca="1"/>
        <v>50.980080778049135</v>
      </c>
      <c r="H27" s="589">
        <f ca="1"/>
        <v>59.91366461550983</v>
      </c>
      <c r="I27" s="589">
        <f ca="1"/>
        <v>135.70320980316131</v>
      </c>
      <c r="J27" s="590">
        <f ca="1"/>
        <v>126.45601117664154</v>
      </c>
      <c r="K27" s="590">
        <f ca="1"/>
        <v>145.07947425356002</v>
      </c>
      <c r="L27" s="590">
        <f ca="1"/>
        <v>162.79563186783298</v>
      </c>
      <c r="M27" s="591">
        <f ca="1"/>
        <v>197.72456473614639</v>
      </c>
      <c r="N27" s="591">
        <f ca="1"/>
        <v>221.77545943978933</v>
      </c>
      <c r="O27" s="591">
        <f ca="1"/>
        <v>158.15706955069675</v>
      </c>
      <c r="P27" s="592">
        <f ca="1"/>
        <v>127.05101266127984</v>
      </c>
      <c r="Q27" s="592">
        <f ca="1"/>
        <v>73.095394381108605</v>
      </c>
      <c r="R27" s="592">
        <f ca="1"/>
        <v>64.709797711719858</v>
      </c>
      <c r="S27" s="593">
        <f ca="1"/>
        <v>1523.4413709754956</v>
      </c>
      <c r="T27" s="195">
        <f t="shared" ca="1" si="5"/>
        <v>0.23197654419366809</v>
      </c>
      <c r="U27" s="589">
        <f ca="1">IF(SUM(G27:I27)=0,"",SUM(G27:I27))</f>
        <v>246.59695519672027</v>
      </c>
      <c r="V27" s="590">
        <f ca="1">IF(SUM(J27:L27)=0,"",SUM(J27:L27))</f>
        <v>434.33111729803454</v>
      </c>
      <c r="W27" s="591">
        <f ca="1">IF(SUM(M27:O27)=0,"",SUM(M27:O27))</f>
        <v>577.65709372663241</v>
      </c>
      <c r="X27" s="592">
        <f ca="1">IF(SUM(P27:R27)=0,"",SUM(P27:R27))</f>
        <v>264.85620475410826</v>
      </c>
    </row>
    <row r="28" spans="4:35" ht="16.2" customHeight="1" thickTop="1" thickBot="1" x14ac:dyDescent="0.35">
      <c r="D28" s="112"/>
      <c r="E28" s="867" t="str">
        <f ca="1">$A$1&amp;IF(REP.indexed="YES"," - INDEXED TO "&amp;MAX(REP.yearsrange)," - IN HISTORIC PRICES")</f>
        <v>ECONOMIC IMPACT - INDEXED TO 2022</v>
      </c>
      <c r="F28" s="866"/>
      <c r="G28" s="866"/>
      <c r="H28" s="866"/>
      <c r="I28" s="866"/>
      <c r="J28" s="866"/>
      <c r="K28" s="866"/>
      <c r="L28" s="866"/>
      <c r="M28" s="866"/>
      <c r="N28" s="866"/>
      <c r="O28" s="866"/>
      <c r="P28" s="866"/>
      <c r="Q28" s="866"/>
      <c r="R28" s="866"/>
      <c r="S28" s="867" t="str">
        <f>UPPER(TYPE.userselected)</f>
        <v>TOTAL</v>
      </c>
      <c r="T28" s="866"/>
      <c r="U28" s="866"/>
      <c r="V28" s="866"/>
      <c r="W28" s="866"/>
      <c r="X28" s="868"/>
    </row>
    <row r="29" spans="4:35" ht="16.2" customHeight="1" thickTop="1" thickBot="1" x14ac:dyDescent="0.35">
      <c r="D29" s="196" t="str">
        <f t="shared" ref="D29:D35" ca="1" si="7">"'"&amp;$A$1&amp;"'!"&amp;CELL("address",G29)&amp;":"&amp;CELL("address",OFFSET(G29,0,YEARSINREP-1))</f>
        <v>'ECONOMIC IMPACT'!$G$29:$R$29</v>
      </c>
      <c r="E29" s="956" t="s">
        <v>120</v>
      </c>
      <c r="F29" s="957"/>
      <c r="G29" s="197">
        <f t="array" ref="G29:R29">TRANSPOSE(REP.yearsrange)</f>
        <v>2011</v>
      </c>
      <c r="H29" s="197">
        <v>2012</v>
      </c>
      <c r="I29" s="198">
        <v>2013</v>
      </c>
      <c r="J29" s="198">
        <v>2014</v>
      </c>
      <c r="K29" s="198">
        <v>2015</v>
      </c>
      <c r="L29" s="198">
        <v>2016</v>
      </c>
      <c r="M29" s="198">
        <v>2017</v>
      </c>
      <c r="N29" s="198">
        <v>2018</v>
      </c>
      <c r="O29" s="198">
        <v>2019</v>
      </c>
      <c r="P29" s="198">
        <v>2020</v>
      </c>
      <c r="Q29" s="198">
        <v>2021</v>
      </c>
      <c r="R29" s="198">
        <v>2022</v>
      </c>
      <c r="S29" s="198"/>
      <c r="T29" s="199"/>
      <c r="U29" s="199"/>
      <c r="V29" s="199"/>
      <c r="W29" s="199"/>
      <c r="X29" s="199"/>
      <c r="Z29" s="76"/>
      <c r="AA29" s="76"/>
      <c r="AB29" s="76"/>
      <c r="AC29" s="76"/>
      <c r="AD29" s="76"/>
      <c r="AE29" s="76"/>
      <c r="AF29" s="76"/>
      <c r="AG29" s="76"/>
      <c r="AH29" s="76"/>
      <c r="AI29" s="76"/>
    </row>
    <row r="30" spans="4:35" ht="16.2" customHeight="1" thickTop="1" thickBot="1" x14ac:dyDescent="0.35">
      <c r="D30" s="196" t="str">
        <f t="shared" ca="1" si="7"/>
        <v>'ECONOMIC IMPACT'!$G$30:$R$30</v>
      </c>
      <c r="E30" s="200" t="str">
        <f>IF(TYPE.userselected="SFR",TYPE.userselected,PROPER(VISTYPE.short))</f>
        <v>Total</v>
      </c>
      <c r="F30" s="194" t="str">
        <f ca="1">F16</f>
        <v>£M</v>
      </c>
      <c r="G30" s="594">
        <f t="array" aca="1" ref="G30:R30" ca="1">EI.SHARE_VT_ANN</f>
        <v>1271.0067503525315</v>
      </c>
      <c r="H30" s="594">
        <f ca="1"/>
        <v>1138.2461488954439</v>
      </c>
      <c r="I30" s="594">
        <f ca="1"/>
        <v>1178.554199207525</v>
      </c>
      <c r="J30" s="594">
        <f ca="1"/>
        <v>1226.6205439528562</v>
      </c>
      <c r="K30" s="594">
        <f ca="1"/>
        <v>1199.0679780326702</v>
      </c>
      <c r="L30" s="594">
        <f ca="1"/>
        <v>1236.7650989208178</v>
      </c>
      <c r="M30" s="594">
        <f ca="1"/>
        <v>1291.6832130643966</v>
      </c>
      <c r="N30" s="594">
        <f ca="1"/>
        <v>1384.2194322880209</v>
      </c>
      <c r="O30" s="594">
        <f ca="1"/>
        <v>1516.9062069621152</v>
      </c>
      <c r="P30" s="594">
        <f ca="1"/>
        <v>629.09235478267237</v>
      </c>
      <c r="Q30" s="594">
        <f ca="1"/>
        <v>1236.5830974262517</v>
      </c>
      <c r="R30" s="594">
        <f ca="1"/>
        <v>1523.4413709754956</v>
      </c>
      <c r="S30" s="201"/>
      <c r="T30" s="199"/>
      <c r="U30" s="199"/>
      <c r="V30" s="199"/>
      <c r="W30" s="199"/>
      <c r="X30" s="199"/>
    </row>
    <row r="31" spans="4:35" ht="16.2" customHeight="1" thickTop="1" thickBot="1" x14ac:dyDescent="0.35">
      <c r="D31" s="196" t="str">
        <f t="shared" ca="1" si="7"/>
        <v>'ECONOMIC IMPACT'!$G$31:$R$31</v>
      </c>
      <c r="E31" s="200" t="s">
        <v>96</v>
      </c>
      <c r="F31" s="194" t="str">
        <f>IF($A$4=1,"£000s",IF(A4=1000,"£M","£Bn"))</f>
        <v>£Bn</v>
      </c>
      <c r="G31" s="595">
        <f t="array" aca="1" ref="G31:R31" ca="1">EI.SHARE_TOTAL_ANN</f>
        <v>1.2710067503525315</v>
      </c>
      <c r="H31" s="595">
        <f ca="1"/>
        <v>1.1382461488954438</v>
      </c>
      <c r="I31" s="595">
        <f ca="1"/>
        <v>1.178554199207525</v>
      </c>
      <c r="J31" s="595">
        <f ca="1"/>
        <v>1.2266205439528561</v>
      </c>
      <c r="K31" s="595">
        <f ca="1"/>
        <v>1.1990679780326703</v>
      </c>
      <c r="L31" s="595">
        <f ca="1"/>
        <v>1.2367650989208177</v>
      </c>
      <c r="M31" s="595">
        <f ca="1"/>
        <v>1.2916832130643965</v>
      </c>
      <c r="N31" s="595">
        <f ca="1"/>
        <v>1.3842194322880208</v>
      </c>
      <c r="O31" s="595">
        <f ca="1"/>
        <v>1.5169062069621151</v>
      </c>
      <c r="P31" s="595">
        <f ca="1"/>
        <v>0.62909235478267234</v>
      </c>
      <c r="Q31" s="595">
        <f ca="1"/>
        <v>1.2365830974262517</v>
      </c>
      <c r="R31" s="595">
        <f ca="1"/>
        <v>1.5234413709754955</v>
      </c>
      <c r="S31" s="202"/>
      <c r="T31" s="199"/>
      <c r="U31" s="199"/>
      <c r="V31" s="199"/>
      <c r="W31" s="199"/>
      <c r="X31" s="199"/>
    </row>
    <row r="32" spans="4:35" ht="16.2" customHeight="1" thickTop="1" thickBot="1" x14ac:dyDescent="0.35">
      <c r="D32" s="196" t="str">
        <f t="shared" ca="1" si="7"/>
        <v>'ECONOMIC IMPACT'!$G$32:$R$32</v>
      </c>
      <c r="E32" s="200" t="s">
        <v>121</v>
      </c>
      <c r="F32" s="194" t="s">
        <v>117</v>
      </c>
      <c r="G32" s="135">
        <f t="array" aca="1" ref="G32:R32" ca="1">IFERROR((EI.SHARE_VT_ANN*$A$2)/(EI.SHARE_TOTAL_ANN*$A$4),"")</f>
        <v>1</v>
      </c>
      <c r="H32" s="135">
        <f ca="1"/>
        <v>1</v>
      </c>
      <c r="I32" s="135">
        <f ca="1"/>
        <v>1</v>
      </c>
      <c r="J32" s="135">
        <f ca="1"/>
        <v>1</v>
      </c>
      <c r="K32" s="135">
        <f ca="1"/>
        <v>1</v>
      </c>
      <c r="L32" s="135">
        <f ca="1"/>
        <v>1</v>
      </c>
      <c r="M32" s="135">
        <f ca="1"/>
        <v>1</v>
      </c>
      <c r="N32" s="135">
        <f ca="1"/>
        <v>1</v>
      </c>
      <c r="O32" s="135">
        <f ca="1"/>
        <v>1</v>
      </c>
      <c r="P32" s="135">
        <f ca="1"/>
        <v>1</v>
      </c>
      <c r="Q32" s="135">
        <f ca="1"/>
        <v>1</v>
      </c>
      <c r="R32" s="135">
        <f ca="1"/>
        <v>1</v>
      </c>
      <c r="S32" s="135"/>
      <c r="T32" s="199"/>
      <c r="U32" s="199"/>
      <c r="V32" s="199"/>
      <c r="W32" s="199"/>
      <c r="X32" s="199"/>
    </row>
    <row r="33" spans="4:24" ht="16.2" customHeight="1" thickTop="1" thickBot="1" x14ac:dyDescent="0.35">
      <c r="D33" s="196" t="str">
        <f t="shared" ca="1" si="7"/>
        <v>'ECONOMIC IMPACT'!$G$33:$R$33</v>
      </c>
      <c r="E33" s="200" t="s">
        <v>122</v>
      </c>
      <c r="F33" s="194" t="s">
        <v>117</v>
      </c>
      <c r="G33" s="195"/>
      <c r="H33" s="135">
        <f ca="1">IFERROR(H32/G32-1,"")</f>
        <v>0</v>
      </c>
      <c r="I33" s="135">
        <f t="shared" ref="I33:R33" ca="1" si="8">IFERROR(I32/H32-1,"")</f>
        <v>0</v>
      </c>
      <c r="J33" s="135">
        <f t="shared" ca="1" si="8"/>
        <v>0</v>
      </c>
      <c r="K33" s="135">
        <f t="shared" ca="1" si="8"/>
        <v>0</v>
      </c>
      <c r="L33" s="135">
        <f t="shared" ca="1" si="8"/>
        <v>0</v>
      </c>
      <c r="M33" s="135">
        <f t="shared" ca="1" si="8"/>
        <v>0</v>
      </c>
      <c r="N33" s="135">
        <f t="shared" ca="1" si="8"/>
        <v>0</v>
      </c>
      <c r="O33" s="135">
        <f t="shared" ca="1" si="8"/>
        <v>0</v>
      </c>
      <c r="P33" s="135">
        <f t="shared" ca="1" si="8"/>
        <v>0</v>
      </c>
      <c r="Q33" s="135">
        <f t="shared" ca="1" si="8"/>
        <v>0</v>
      </c>
      <c r="R33" s="135">
        <f t="shared" ca="1" si="8"/>
        <v>0</v>
      </c>
      <c r="S33" s="135"/>
      <c r="T33" s="199"/>
      <c r="U33" s="199"/>
      <c r="V33" s="199"/>
      <c r="W33" s="199"/>
      <c r="X33" s="199"/>
    </row>
    <row r="34" spans="4:24" ht="16.2" customHeight="1" thickTop="1" thickBot="1" x14ac:dyDescent="0.35">
      <c r="D34" s="196" t="str">
        <f t="shared" ca="1" si="7"/>
        <v>'ECONOMIC IMPACT'!$G$34:$R$34</v>
      </c>
      <c r="E34" s="200" t="str">
        <f>"Change in Share from "&amp;MIN(REP.yearsrange)</f>
        <v>Change in Share from 2011</v>
      </c>
      <c r="F34" s="194" t="s">
        <v>117</v>
      </c>
      <c r="G34" s="195"/>
      <c r="H34" s="135">
        <f t="shared" ref="H34:R34" ca="1" si="9">IFERROR(H32/$G$32-1,"")</f>
        <v>0</v>
      </c>
      <c r="I34" s="135">
        <f t="shared" ca="1" si="9"/>
        <v>0</v>
      </c>
      <c r="J34" s="135">
        <f t="shared" ca="1" si="9"/>
        <v>0</v>
      </c>
      <c r="K34" s="135">
        <f t="shared" ca="1" si="9"/>
        <v>0</v>
      </c>
      <c r="L34" s="135">
        <f t="shared" ca="1" si="9"/>
        <v>0</v>
      </c>
      <c r="M34" s="135">
        <f t="shared" ca="1" si="9"/>
        <v>0</v>
      </c>
      <c r="N34" s="135">
        <f t="shared" ca="1" si="9"/>
        <v>0</v>
      </c>
      <c r="O34" s="135">
        <f t="shared" ca="1" si="9"/>
        <v>0</v>
      </c>
      <c r="P34" s="135">
        <f t="shared" ca="1" si="9"/>
        <v>0</v>
      </c>
      <c r="Q34" s="135">
        <f t="shared" ca="1" si="9"/>
        <v>0</v>
      </c>
      <c r="R34" s="135">
        <f t="shared" ca="1" si="9"/>
        <v>0</v>
      </c>
      <c r="S34" s="135"/>
      <c r="T34" s="199"/>
      <c r="U34" s="199"/>
      <c r="V34" s="199"/>
      <c r="W34" s="199"/>
      <c r="X34" s="199"/>
    </row>
    <row r="35" spans="4:24" ht="16.2" customHeight="1" thickTop="1" thickBot="1" x14ac:dyDescent="0.35">
      <c r="D35" s="196" t="str">
        <f t="shared" ca="1" si="7"/>
        <v>'ECONOMIC IMPACT'!$G$35:$R$35</v>
      </c>
      <c r="E35" s="200" t="s">
        <v>146</v>
      </c>
      <c r="F35" s="194" t="s">
        <v>117</v>
      </c>
      <c r="G35" s="195"/>
      <c r="H35" s="135">
        <f ca="1">IFERROR(H34/(H$29-$G$29),"")</f>
        <v>0</v>
      </c>
      <c r="I35" s="135">
        <f t="shared" ref="I35:R35" ca="1" si="10">IFERROR(I34/(I$29-$G$29),"")</f>
        <v>0</v>
      </c>
      <c r="J35" s="135">
        <f t="shared" ca="1" si="10"/>
        <v>0</v>
      </c>
      <c r="K35" s="135">
        <f t="shared" ca="1" si="10"/>
        <v>0</v>
      </c>
      <c r="L35" s="135">
        <f t="shared" ca="1" si="10"/>
        <v>0</v>
      </c>
      <c r="M35" s="135">
        <f t="shared" ca="1" si="10"/>
        <v>0</v>
      </c>
      <c r="N35" s="135">
        <f t="shared" ca="1" si="10"/>
        <v>0</v>
      </c>
      <c r="O35" s="135">
        <f t="shared" ca="1" si="10"/>
        <v>0</v>
      </c>
      <c r="P35" s="135">
        <f t="shared" ca="1" si="10"/>
        <v>0</v>
      </c>
      <c r="Q35" s="135">
        <f t="shared" ca="1" si="10"/>
        <v>0</v>
      </c>
      <c r="R35" s="135">
        <f t="shared" ca="1" si="10"/>
        <v>0</v>
      </c>
      <c r="S35" s="135"/>
      <c r="T35" s="199"/>
      <c r="U35" s="199"/>
      <c r="V35" s="199"/>
      <c r="W35" s="199"/>
      <c r="X35" s="199"/>
    </row>
    <row r="36" spans="4:24" ht="16.2" customHeight="1" thickTop="1" thickBot="1" x14ac:dyDescent="0.35">
      <c r="D36" s="196"/>
      <c r="E36" s="663"/>
      <c r="F36" s="267"/>
      <c r="G36" s="195"/>
      <c r="H36" s="135"/>
      <c r="I36" s="135"/>
      <c r="J36" s="135"/>
      <c r="K36" s="135"/>
      <c r="L36" s="135"/>
      <c r="M36" s="135"/>
      <c r="N36" s="135"/>
      <c r="O36" s="135"/>
      <c r="P36" s="135"/>
      <c r="Q36" s="135"/>
      <c r="R36" s="135"/>
      <c r="S36" s="135"/>
      <c r="T36" s="199"/>
      <c r="U36" s="199"/>
      <c r="V36" s="199"/>
      <c r="W36" s="199"/>
      <c r="X36" s="199"/>
    </row>
    <row r="37" spans="4:24" ht="16.2" customHeight="1" thickTop="1" thickBot="1" x14ac:dyDescent="0.35">
      <c r="D37" s="112"/>
      <c r="E37" s="203" t="str">
        <f>IF(COUNT(REP.yearsrange)&lt;MAX(REP.yearnos),"Note: This report caters for a period of up to 12 years. Parts of this page are intentionally left blank to accommodate new data as it becomes available.","")</f>
        <v/>
      </c>
      <c r="F37" s="129"/>
      <c r="G37" s="129"/>
      <c r="H37" s="129"/>
      <c r="I37" s="129"/>
      <c r="J37" s="129"/>
      <c r="K37" s="129"/>
      <c r="L37" s="129"/>
      <c r="M37" s="129"/>
      <c r="N37" s="129"/>
      <c r="O37" s="129"/>
      <c r="P37" s="129"/>
      <c r="Q37" s="129"/>
      <c r="R37" s="129"/>
      <c r="S37" s="199"/>
      <c r="T37" s="199"/>
      <c r="U37" s="199"/>
      <c r="V37" s="199"/>
      <c r="W37" s="199"/>
      <c r="X37" s="199"/>
    </row>
    <row r="38" spans="4:24" s="42" customFormat="1" ht="16.2" customHeight="1" thickTop="1" thickBot="1" x14ac:dyDescent="0.2">
      <c r="D38" s="170"/>
      <c r="E38" s="171" t="str">
        <f>REP.footer1</f>
        <v>This report is copyright © Global Tourism Solutions (UK) Ltd 2023</v>
      </c>
      <c r="F38" s="172"/>
      <c r="G38" s="172"/>
      <c r="H38" s="172"/>
      <c r="I38" s="172"/>
      <c r="J38" s="172"/>
      <c r="K38" s="172"/>
      <c r="L38" s="172"/>
      <c r="M38" s="172"/>
      <c r="N38" s="172"/>
      <c r="O38" s="172"/>
      <c r="P38" s="172"/>
      <c r="Q38" s="172"/>
      <c r="R38" s="172"/>
      <c r="S38" s="172"/>
      <c r="T38" s="172"/>
      <c r="U38" s="172"/>
      <c r="V38" s="172"/>
      <c r="W38" s="172"/>
      <c r="X38" s="173" t="str">
        <f>REP.footer2</f>
        <v>Report Prepared by: Cathy James. Date of Issue: 14/08/23</v>
      </c>
    </row>
    <row r="39" spans="4:24" ht="16.2" customHeight="1" thickTop="1" x14ac:dyDescent="0.3"/>
    <row r="40" spans="4:24" ht="16.2" customHeight="1" x14ac:dyDescent="0.3">
      <c r="G40" s="76"/>
      <c r="H40" s="76"/>
      <c r="I40" s="76"/>
      <c r="J40" s="76"/>
      <c r="K40" s="76"/>
      <c r="L40" s="76"/>
      <c r="M40" s="76"/>
      <c r="N40" s="76"/>
      <c r="O40" s="76"/>
      <c r="P40" s="76"/>
      <c r="Q40" s="76"/>
      <c r="R40" s="76"/>
      <c r="S40" s="76"/>
      <c r="T40" s="76"/>
      <c r="U40" s="76"/>
      <c r="V40" s="76"/>
    </row>
    <row r="41" spans="4:24" ht="16.2" customHeight="1" x14ac:dyDescent="0.3">
      <c r="G41" s="76"/>
      <c r="H41" s="76"/>
      <c r="I41" s="76"/>
      <c r="J41" s="76"/>
      <c r="K41" s="76"/>
      <c r="L41" s="76"/>
      <c r="M41" s="76"/>
      <c r="N41" s="76"/>
      <c r="O41" s="76"/>
      <c r="P41" s="76"/>
      <c r="Q41" s="76"/>
      <c r="R41" s="76"/>
      <c r="S41" s="76"/>
      <c r="T41" s="76"/>
      <c r="U41" s="76"/>
      <c r="V41" s="76"/>
    </row>
    <row r="70" spans="7:23" ht="16.2" customHeight="1" x14ac:dyDescent="0.3">
      <c r="G70" s="39" t="s">
        <v>43</v>
      </c>
      <c r="H70" s="39" t="s">
        <v>43</v>
      </c>
      <c r="J70" s="39" t="s">
        <v>48</v>
      </c>
      <c r="K70" s="39" t="s">
        <v>48</v>
      </c>
      <c r="M70" s="39" t="s">
        <v>18</v>
      </c>
      <c r="N70" s="39" t="s">
        <v>18</v>
      </c>
      <c r="P70" s="39" t="s">
        <v>95</v>
      </c>
      <c r="S70" s="39" t="s">
        <v>71</v>
      </c>
      <c r="T70" s="39" t="s">
        <v>71</v>
      </c>
      <c r="V70" s="39" t="s">
        <v>54</v>
      </c>
      <c r="W70" s="39" t="s">
        <v>54</v>
      </c>
    </row>
  </sheetData>
  <sheetProtection algorithmName="SHA-512" hashValue="As5EEhS0UdsLpzDJyh5t7CI+Xnuc0xSfcuN5MPGrkF+quvPZ2QsWFHEJGQxYDo1m8KsJEtzubJIjTbetoJ4z5g==" saltValue="/QS6f4Af6BtS4AGjTkEk8Q==" spinCount="100000" sheet="1" objects="1" scenarios="1"/>
  <mergeCells count="27">
    <mergeCell ref="S6:T7"/>
    <mergeCell ref="U6:X7"/>
    <mergeCell ref="E29:F29"/>
    <mergeCell ref="E13:F13"/>
    <mergeCell ref="E14:F14"/>
    <mergeCell ref="E15:F15"/>
    <mergeCell ref="T13:T16"/>
    <mergeCell ref="E12:F12"/>
    <mergeCell ref="G9:R9"/>
    <mergeCell ref="G11:I11"/>
    <mergeCell ref="J11:L11"/>
    <mergeCell ref="M11:O11"/>
    <mergeCell ref="P11:R11"/>
    <mergeCell ref="P7:R7"/>
    <mergeCell ref="P6:R6"/>
    <mergeCell ref="E28:R28"/>
    <mergeCell ref="S28:X28"/>
    <mergeCell ref="T10:T12"/>
    <mergeCell ref="S8:T9"/>
    <mergeCell ref="E8:F8"/>
    <mergeCell ref="U8:X11"/>
    <mergeCell ref="S10:S12"/>
    <mergeCell ref="E9:F9"/>
    <mergeCell ref="E10:F10"/>
    <mergeCell ref="E11:F11"/>
    <mergeCell ref="G10:R10"/>
    <mergeCell ref="G8:R8"/>
  </mergeCells>
  <conditionalFormatting sqref="E16:X27">
    <cfRule type="expression" dxfId="146" priority="7">
      <formula>$E16=0</formula>
    </cfRule>
  </conditionalFormatting>
  <conditionalFormatting sqref="F31">
    <cfRule type="expression" dxfId="145" priority="47">
      <formula>$E16=0</formula>
    </cfRule>
  </conditionalFormatting>
  <conditionalFormatting sqref="G13:S15">
    <cfRule type="expression" priority="2" stopIfTrue="1">
      <formula>G13=""</formula>
    </cfRule>
    <cfRule type="cellIs" dxfId="144" priority="21" operator="lessThanOrEqual">
      <formula>-REP.percenthighlight</formula>
    </cfRule>
    <cfRule type="cellIs" dxfId="143" priority="22" operator="greaterThanOrEqual">
      <formula>REP.percenthighlight</formula>
    </cfRule>
  </conditionalFormatting>
  <conditionalFormatting sqref="G16:S27 U16:X27 G30:R31">
    <cfRule type="expression" dxfId="142" priority="5">
      <formula>$A$2=1</formula>
    </cfRule>
    <cfRule type="expression" dxfId="141" priority="6">
      <formula>AND($A$2&gt;1,G16&lt;10)</formula>
    </cfRule>
  </conditionalFormatting>
  <conditionalFormatting sqref="G30:S34 H35:S36">
    <cfRule type="expression" dxfId="140" priority="27" stopIfTrue="1">
      <formula>G$29=0</formula>
    </cfRule>
  </conditionalFormatting>
  <conditionalFormatting sqref="G33:S34">
    <cfRule type="cellIs" dxfId="139" priority="30" operator="lessThanOrEqual">
      <formula>-REP.percenthighlight</formula>
    </cfRule>
    <cfRule type="cellIs" dxfId="138" priority="31" operator="greaterThanOrEqual">
      <formula>REP.percenthighlight</formula>
    </cfRule>
  </conditionalFormatting>
  <conditionalFormatting sqref="H35:S36">
    <cfRule type="cellIs" dxfId="137" priority="28" operator="lessThanOrEqual">
      <formula>-REP.percenthighlight</formula>
    </cfRule>
    <cfRule type="cellIs" dxfId="136" priority="29" operator="greaterThanOrEqual">
      <formula>REP.percenthighlight</formula>
    </cfRule>
  </conditionalFormatting>
  <conditionalFormatting sqref="I29:S29">
    <cfRule type="expression" dxfId="135" priority="32">
      <formula>I29=0</formula>
    </cfRule>
  </conditionalFormatting>
  <conditionalFormatting sqref="S6:T7 G9:R9 S28:X28">
    <cfRule type="expression" dxfId="134" priority="8">
      <formula>TYPE.no=6</formula>
    </cfRule>
    <cfRule type="expression" dxfId="133" priority="9">
      <formula>TYPE.no=5</formula>
    </cfRule>
    <cfRule type="expression" dxfId="132" priority="10">
      <formula>TYPE.no=4</formula>
    </cfRule>
    <cfRule type="expression" dxfId="131" priority="11">
      <formula>TYPE.no=3</formula>
    </cfRule>
    <cfRule type="expression" dxfId="130" priority="12">
      <formula>TYPE.no=2</formula>
    </cfRule>
    <cfRule type="expression" dxfId="129" priority="13">
      <formula>TYPE.no=1</formula>
    </cfRule>
  </conditionalFormatting>
  <conditionalFormatting sqref="T17:T27">
    <cfRule type="cellIs" dxfId="128" priority="24" operator="greaterThanOrEqual">
      <formula>REP.percenthighlight</formula>
    </cfRule>
    <cfRule type="cellIs" dxfId="127" priority="36" operator="lessThanOrEqual">
      <formula>-REP.percenthighlight</formula>
    </cfRule>
  </conditionalFormatting>
  <conditionalFormatting sqref="U13:X15">
    <cfRule type="expression" priority="1" stopIfTrue="1">
      <formula>U13=""</formula>
    </cfRule>
    <cfRule type="cellIs" dxfId="126" priority="3" operator="lessThanOrEqual">
      <formula>-REP.percenthighlight</formula>
    </cfRule>
    <cfRule type="cellIs" dxfId="125" priority="4" operator="greaterThanOrEqual">
      <formula>REP.percenthighlight</formula>
    </cfRule>
  </conditionalFormatting>
  <printOptions horizontalCentered="1" verticalCentered="1"/>
  <pageMargins left="0.70866141732283472" right="0.70866141732283472" top="0.74803149606299213" bottom="0.74803149606299213" header="0.31496062992125984" footer="0.31496062992125984"/>
  <pageSetup paperSize="9" scale="89"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1040" r:id="rId4" name="Drop Down 16">
              <controlPr defaultSize="0" autoLine="0" autoPict="0">
                <anchor moveWithCells="1">
                  <from>
                    <xdr:col>21</xdr:col>
                    <xdr:colOff>182880</xdr:colOff>
                    <xdr:row>4</xdr:row>
                    <xdr:rowOff>22860</xdr:rowOff>
                  </from>
                  <to>
                    <xdr:col>22</xdr:col>
                    <xdr:colOff>266700</xdr:colOff>
                    <xdr:row>4</xdr:row>
                    <xdr:rowOff>297180</xdr:rowOff>
                  </to>
                </anchor>
              </controlPr>
            </control>
          </mc:Choice>
        </mc:AlternateContent>
        <mc:AlternateContent xmlns:mc="http://schemas.openxmlformats.org/markup-compatibility/2006">
          <mc:Choice Requires="x14">
            <control shapeId="1042" r:id="rId5" name="Drop Down 18">
              <controlPr defaultSize="0" autoLine="0" autoPict="0">
                <anchor moveWithCells="1">
                  <from>
                    <xdr:col>16</xdr:col>
                    <xdr:colOff>76200</xdr:colOff>
                    <xdr:row>4</xdr:row>
                    <xdr:rowOff>22860</xdr:rowOff>
                  </from>
                  <to>
                    <xdr:col>17</xdr:col>
                    <xdr:colOff>297180</xdr:colOff>
                    <xdr:row>4</xdr:row>
                    <xdr:rowOff>297180</xdr:rowOff>
                  </to>
                </anchor>
              </controlPr>
            </control>
          </mc:Choice>
        </mc:AlternateContent>
        <mc:AlternateContent xmlns:mc="http://schemas.openxmlformats.org/markup-compatibility/2006">
          <mc:Choice Requires="x14">
            <control shapeId="1044" r:id="rId6" name="Drop Down 20">
              <controlPr defaultSize="0" autoLine="0" autoPict="0">
                <anchor moveWithCells="1">
                  <from>
                    <xdr:col>9</xdr:col>
                    <xdr:colOff>175260</xdr:colOff>
                    <xdr:row>4</xdr:row>
                    <xdr:rowOff>22860</xdr:rowOff>
                  </from>
                  <to>
                    <xdr:col>13</xdr:col>
                    <xdr:colOff>152400</xdr:colOff>
                    <xdr:row>4</xdr:row>
                    <xdr:rowOff>297180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Output04">
    <tabColor rgb="FF00B050"/>
    <outlinePr showOutlineSymbols="0"/>
    <pageSetUpPr autoPageBreaks="0" fitToPage="1"/>
  </sheetPr>
  <dimension ref="A1:Y70"/>
  <sheetViews>
    <sheetView showGridLines="0" showRowColHeaders="0" showZeros="0" showOutlineSymbols="0" zoomScaleNormal="100" workbookViewId="0">
      <pane ySplit="7" topLeftCell="A8" activePane="bottomLeft" state="frozen"/>
      <selection activeCell="G33" sqref="G33:G35"/>
      <selection pane="bottomLeft" activeCell="S16" sqref="S16"/>
    </sheetView>
  </sheetViews>
  <sheetFormatPr defaultColWidth="4.88671875" defaultRowHeight="16.2" customHeight="1" x14ac:dyDescent="0.3"/>
  <cols>
    <col min="1" max="1" width="7" style="39" bestFit="1" customWidth="1"/>
    <col min="2" max="3" width="4.88671875" style="39"/>
    <col min="4" max="4" width="4.88671875" style="40"/>
    <col min="5" max="5" width="19.5546875" style="39" customWidth="1"/>
    <col min="6" max="6" width="5.109375" style="39" customWidth="1"/>
    <col min="7" max="24" width="7.33203125" style="39" customWidth="1"/>
    <col min="25" max="25" width="4.88671875" style="39"/>
    <col min="26" max="26" width="8.44140625" style="39" bestFit="1" customWidth="1"/>
    <col min="27" max="16384" width="4.88671875" style="39"/>
  </cols>
  <sheetData>
    <row r="1" spans="1:25" ht="16.2" hidden="1" customHeight="1" thickTop="1" thickBot="1" x14ac:dyDescent="0.35">
      <c r="A1" s="37" t="str">
        <f ca="1">MID(CELL("filename",A1),FIND("]",CELL("filename",A1))+1,255)</f>
        <v>VISITOR NUMBERS</v>
      </c>
      <c r="E1" s="53"/>
      <c r="F1" s="54"/>
      <c r="G1" s="54"/>
      <c r="H1" s="54"/>
      <c r="I1" s="54"/>
      <c r="J1" s="54"/>
      <c r="K1" s="54"/>
      <c r="L1" s="54"/>
      <c r="M1" s="54"/>
      <c r="N1" s="54"/>
      <c r="O1" s="54"/>
      <c r="P1" s="54"/>
      <c r="Q1" s="54"/>
      <c r="R1" s="54"/>
      <c r="S1" s="54"/>
      <c r="T1" s="54"/>
      <c r="U1" s="54"/>
      <c r="V1" s="54"/>
      <c r="W1" s="54"/>
      <c r="X1" s="55"/>
    </row>
    <row r="2" spans="1:25" ht="16.2" customHeight="1" thickTop="1" x14ac:dyDescent="0.3">
      <c r="A2" s="618">
        <f ca="1">IF(($A$3/1000000)&gt;1,1000000,IF(($A$3/1000)&gt;1,1000,1))</f>
        <v>1000</v>
      </c>
      <c r="B2" s="618"/>
      <c r="C2" s="618"/>
      <c r="D2" s="622"/>
      <c r="E2" s="44"/>
      <c r="F2" s="45"/>
      <c r="G2" s="45"/>
      <c r="H2" s="45"/>
      <c r="I2" s="45"/>
      <c r="J2" s="45"/>
      <c r="K2" s="45"/>
      <c r="L2" s="45"/>
      <c r="M2" s="45"/>
      <c r="N2" s="45"/>
      <c r="O2" s="45"/>
      <c r="P2" s="45"/>
      <c r="Q2" s="45"/>
      <c r="R2" s="45"/>
      <c r="S2" s="45"/>
      <c r="T2" s="45"/>
      <c r="U2" s="45"/>
      <c r="V2" s="45"/>
      <c r="W2" s="45"/>
      <c r="X2" s="46"/>
    </row>
    <row r="3" spans="1:25" ht="26.4" customHeight="1" x14ac:dyDescent="0.3">
      <c r="A3" s="618">
        <f t="array" aca="1" ref="A3" ca="1">IFERROR(AVERAGE(IF(TYPE.no=5,(INDEX(DATA!T:T,MATCH(REP.yearsrange&amp;"."&amp;'VISITOR NUMBERS'!$A$1&amp;"."&amp;TOTAL,REP.lookup,0))-INDEX(DATA!T:T,MATCH(REP.yearsrange&amp;"."&amp;'VISITOR NUMBERS'!$A$1&amp;"."&amp;DV,REP.lookup,0))),INDEX(DATA!T:T,MATCH(REP.yearsrange&amp;"."&amp;'VISITOR NUMBERS'!$A$1&amp;"."&amp;TYPE.userselected,REP.lookup,0)))),0)</f>
        <v>7196.9716282325899</v>
      </c>
      <c r="B3" s="618"/>
      <c r="C3" s="618"/>
      <c r="D3" s="622"/>
      <c r="E3" s="47"/>
      <c r="F3" s="43"/>
      <c r="G3" s="43"/>
      <c r="H3" s="43"/>
      <c r="I3" s="43"/>
      <c r="J3" s="43"/>
      <c r="K3" s="43"/>
      <c r="L3" s="43"/>
      <c r="M3" s="43"/>
      <c r="N3" s="43"/>
      <c r="O3" s="43"/>
      <c r="P3" s="43"/>
      <c r="Q3" s="43"/>
      <c r="R3" s="43"/>
      <c r="S3" s="43"/>
      <c r="T3" s="43"/>
      <c r="U3" s="43"/>
      <c r="V3" s="43"/>
      <c r="W3" s="43"/>
      <c r="X3" s="48"/>
    </row>
    <row r="4" spans="1:25" ht="26.4" customHeight="1" x14ac:dyDescent="0.3">
      <c r="A4" s="618">
        <f>IF(($A$5/1000000)&gt;1,1000000,IF(($A$5/1000)&gt;1,1000,1))</f>
        <v>1000</v>
      </c>
      <c r="B4" s="618"/>
      <c r="C4" s="618"/>
      <c r="D4" s="622"/>
      <c r="E4" s="58"/>
      <c r="F4" s="59"/>
      <c r="G4" s="59"/>
      <c r="H4" s="59"/>
      <c r="I4" s="59"/>
      <c r="J4" s="59"/>
      <c r="K4" s="59"/>
      <c r="L4" s="59"/>
      <c r="M4" s="59"/>
      <c r="N4" s="59"/>
      <c r="O4" s="59"/>
      <c r="P4" s="59"/>
      <c r="Q4" s="59"/>
      <c r="R4" s="59"/>
      <c r="S4" s="59"/>
      <c r="T4" s="59"/>
      <c r="U4" s="59"/>
      <c r="V4" s="59"/>
      <c r="W4" s="59"/>
      <c r="X4" s="60"/>
    </row>
    <row r="5" spans="1:25" ht="26.4" customHeight="1" thickBot="1" x14ac:dyDescent="0.35">
      <c r="A5" s="618">
        <f>VLOOKUP(FOCUSYEAR&amp;".VISITOR NUMBERS.TOTAL",REP.data,18,FALSE)</f>
        <v>7882.3038751344529</v>
      </c>
      <c r="B5" s="618"/>
      <c r="C5" s="618"/>
      <c r="D5" s="622"/>
      <c r="E5" s="50"/>
      <c r="F5" s="51"/>
      <c r="G5" s="51"/>
      <c r="H5" s="51"/>
      <c r="I5" s="51"/>
      <c r="J5" s="51"/>
      <c r="K5" s="51"/>
      <c r="L5" s="51"/>
      <c r="M5" s="51"/>
      <c r="N5" s="51"/>
      <c r="O5" s="51"/>
      <c r="P5" s="51"/>
      <c r="Q5" s="51"/>
      <c r="R5" s="51"/>
      <c r="S5" s="51"/>
      <c r="T5" s="51"/>
      <c r="U5" s="51"/>
      <c r="V5" s="51"/>
      <c r="W5" s="51"/>
      <c r="X5" s="52"/>
    </row>
    <row r="6" spans="1:25" ht="16.2" customHeight="1" thickTop="1" x14ac:dyDescent="0.3">
      <c r="D6" s="112"/>
      <c r="E6" s="373" t="str">
        <f>REP.title1</f>
        <v>STEAM FINAL TREND REPORT FOR 2011-2022</v>
      </c>
      <c r="F6" s="387"/>
      <c r="G6" s="387"/>
      <c r="H6" s="387"/>
      <c r="I6" s="387"/>
      <c r="J6" s="387"/>
      <c r="K6" s="387"/>
      <c r="L6" s="387"/>
      <c r="M6" s="387"/>
      <c r="N6" s="387"/>
      <c r="O6" s="388"/>
      <c r="P6" s="1024" t="str">
        <f>MIN(REP.yearsrange)&amp;" to "&amp;MAX(REP.yearsrange)</f>
        <v>2011 to 2022</v>
      </c>
      <c r="Q6" s="1025"/>
      <c r="R6" s="1026"/>
      <c r="S6" s="929" t="str">
        <f>UPPER(VISTYPE.short)</f>
        <v>TOTAL</v>
      </c>
      <c r="T6" s="930"/>
      <c r="U6" s="1018" t="str">
        <f ca="1">$A$1</f>
        <v>VISITOR NUMBERS</v>
      </c>
      <c r="V6" s="1019"/>
      <c r="W6" s="1019"/>
      <c r="X6" s="1020"/>
    </row>
    <row r="7" spans="1:25" ht="16.2" customHeight="1" thickBot="1" x14ac:dyDescent="0.35">
      <c r="D7" s="112"/>
      <c r="E7" s="374" t="str">
        <f>REP.title2</f>
        <v>GWYNEDD COUNCIL</v>
      </c>
      <c r="F7" s="375"/>
      <c r="G7" s="375"/>
      <c r="H7" s="375"/>
      <c r="I7" s="376"/>
      <c r="J7" s="376"/>
      <c r="K7" s="376"/>
      <c r="L7" s="376"/>
      <c r="M7" s="376"/>
      <c r="N7" s="376"/>
      <c r="O7" s="389"/>
      <c r="P7" s="1027"/>
      <c r="Q7" s="1028"/>
      <c r="R7" s="1029"/>
      <c r="S7" s="931"/>
      <c r="T7" s="932"/>
      <c r="U7" s="1021"/>
      <c r="V7" s="1022"/>
      <c r="W7" s="1022"/>
      <c r="X7" s="1023"/>
    </row>
    <row r="8" spans="1:25" ht="16.2" customHeight="1" thickTop="1" thickBot="1" x14ac:dyDescent="0.35">
      <c r="D8" s="112"/>
      <c r="E8" s="867" t="str">
        <f ca="1">$A$1&amp;" BY:"</f>
        <v>VISITOR NUMBERS BY:</v>
      </c>
      <c r="F8" s="868"/>
      <c r="G8" s="867" t="s">
        <v>132</v>
      </c>
      <c r="H8" s="866"/>
      <c r="I8" s="866"/>
      <c r="J8" s="866"/>
      <c r="K8" s="866"/>
      <c r="L8" s="866"/>
      <c r="M8" s="866"/>
      <c r="N8" s="866"/>
      <c r="O8" s="866"/>
      <c r="P8" s="866"/>
      <c r="Q8" s="866"/>
      <c r="R8" s="866"/>
      <c r="S8" s="983" t="s">
        <v>123</v>
      </c>
      <c r="T8" s="984"/>
      <c r="U8" s="987" t="s">
        <v>124</v>
      </c>
      <c r="V8" s="988"/>
      <c r="W8" s="988"/>
      <c r="X8" s="989"/>
    </row>
    <row r="9" spans="1:25" s="35" customFormat="1" ht="16.2" customHeight="1" thickTop="1" thickBot="1" x14ac:dyDescent="0.35">
      <c r="D9" s="125"/>
      <c r="E9" s="872" t="s">
        <v>90</v>
      </c>
      <c r="F9" s="873"/>
      <c r="G9" s="998" t="str">
        <f>UPPER(TYPE.userselected)</f>
        <v>TOTAL</v>
      </c>
      <c r="H9" s="998"/>
      <c r="I9" s="998"/>
      <c r="J9" s="998"/>
      <c r="K9" s="998"/>
      <c r="L9" s="998"/>
      <c r="M9" s="998"/>
      <c r="N9" s="998"/>
      <c r="O9" s="998"/>
      <c r="P9" s="998"/>
      <c r="Q9" s="998"/>
      <c r="R9" s="999"/>
      <c r="S9" s="985"/>
      <c r="T9" s="986"/>
      <c r="U9" s="990"/>
      <c r="V9" s="991"/>
      <c r="W9" s="991"/>
      <c r="X9" s="992"/>
    </row>
    <row r="10" spans="1:25" s="35" customFormat="1" ht="16.2" customHeight="1" thickTop="1" thickBot="1" x14ac:dyDescent="0.35">
      <c r="D10" s="125"/>
      <c r="E10" s="845" t="str">
        <f>REP.highlightup</f>
        <v>An increase of 3% or more</v>
      </c>
      <c r="F10" s="846"/>
      <c r="G10" s="867" t="str">
        <f ca="1">U6&amp;" IN "&amp;IF($A$2=1,"THOUSANDS",IF($A$2=1000,"MILLIONS","BILLIONS"))&amp;" / PERCENTAGE CHANGES"</f>
        <v>VISITOR NUMBERS IN MILLIONS / PERCENTAGE CHANGES</v>
      </c>
      <c r="H10" s="866"/>
      <c r="I10" s="866"/>
      <c r="J10" s="866"/>
      <c r="K10" s="866"/>
      <c r="L10" s="866"/>
      <c r="M10" s="866"/>
      <c r="N10" s="866"/>
      <c r="O10" s="866"/>
      <c r="P10" s="866"/>
      <c r="Q10" s="866"/>
      <c r="R10" s="868"/>
      <c r="S10" s="980" t="s">
        <v>38</v>
      </c>
      <c r="T10" s="980" t="s">
        <v>118</v>
      </c>
      <c r="U10" s="990"/>
      <c r="V10" s="991"/>
      <c r="W10" s="991"/>
      <c r="X10" s="992"/>
    </row>
    <row r="11" spans="1:25" s="35" customFormat="1" ht="16.2" customHeight="1" thickTop="1" thickBot="1" x14ac:dyDescent="0.35">
      <c r="D11" s="125"/>
      <c r="E11" s="856" t="str">
        <f>REP.highlightsame</f>
        <v>Less than 3% change</v>
      </c>
      <c r="F11" s="857"/>
      <c r="G11" s="1000" t="s">
        <v>91</v>
      </c>
      <c r="H11" s="1001"/>
      <c r="I11" s="1002"/>
      <c r="J11" s="1003" t="s">
        <v>92</v>
      </c>
      <c r="K11" s="1004"/>
      <c r="L11" s="1005"/>
      <c r="M11" s="1006" t="s">
        <v>93</v>
      </c>
      <c r="N11" s="1007"/>
      <c r="O11" s="1008"/>
      <c r="P11" s="1009" t="s">
        <v>94</v>
      </c>
      <c r="Q11" s="1010"/>
      <c r="R11" s="1011"/>
      <c r="S11" s="981"/>
      <c r="T11" s="981"/>
      <c r="U11" s="993"/>
      <c r="V11" s="994"/>
      <c r="W11" s="994"/>
      <c r="X11" s="995"/>
    </row>
    <row r="12" spans="1:25" ht="16.2" customHeight="1" thickTop="1" thickBot="1" x14ac:dyDescent="0.35">
      <c r="D12" s="112"/>
      <c r="E12" s="837" t="str">
        <f>REP.highlightdown</f>
        <v>A Fall of 3% or more</v>
      </c>
      <c r="F12" s="838"/>
      <c r="G12" s="184" t="s">
        <v>26</v>
      </c>
      <c r="H12" s="184" t="s">
        <v>27</v>
      </c>
      <c r="I12" s="184" t="s">
        <v>28</v>
      </c>
      <c r="J12" s="185" t="s">
        <v>29</v>
      </c>
      <c r="K12" s="185" t="s">
        <v>30</v>
      </c>
      <c r="L12" s="185" t="s">
        <v>31</v>
      </c>
      <c r="M12" s="186" t="s">
        <v>32</v>
      </c>
      <c r="N12" s="186" t="s">
        <v>33</v>
      </c>
      <c r="O12" s="186" t="s">
        <v>34</v>
      </c>
      <c r="P12" s="187" t="s">
        <v>35</v>
      </c>
      <c r="Q12" s="187" t="s">
        <v>36</v>
      </c>
      <c r="R12" s="187" t="s">
        <v>37</v>
      </c>
      <c r="S12" s="982"/>
      <c r="T12" s="982"/>
      <c r="U12" s="188" t="s">
        <v>91</v>
      </c>
      <c r="V12" s="189" t="s">
        <v>92</v>
      </c>
      <c r="W12" s="190" t="s">
        <v>93</v>
      </c>
      <c r="X12" s="191" t="s">
        <v>94</v>
      </c>
    </row>
    <row r="13" spans="1:25" ht="16.2" customHeight="1" thickTop="1" thickBot="1" x14ac:dyDescent="0.35">
      <c r="D13" s="112"/>
      <c r="E13" s="996" t="str">
        <f>"% Change "&amp;MIN(REP.yearsrange)&amp;" to "&amp;MAX(REP.yearsrange)</f>
        <v>% Change 2011 to 2022</v>
      </c>
      <c r="F13" s="996"/>
      <c r="G13" s="135">
        <f ca="1">IFERROR(INDEX(G$16:G$27,MATCH(MAX(REP.yearsrange),$E$16:$E$27,0))/INDEX(G$16:G$27,MATCH(MIN(REP.yearsrange),$E$16:$E$27,0))-1,"")</f>
        <v>0.7431626042198789</v>
      </c>
      <c r="H13" s="135">
        <f ca="1">IFERROR(INDEX(H$16:H$27,MATCH(MAX(REP.yearsrange),$E$16:$E$27,0))/INDEX(H$16:H$27,MATCH(MIN(REP.yearsrange),$E$16:$E$27,0))-1,"")</f>
        <v>0.42230222076817059</v>
      </c>
      <c r="I13" s="135">
        <f ca="1">IFERROR(INDEX(I$16:I$27,MATCH(MAX(REP.yearsrange),$E$16:$E$27,0))/INDEX(I$16:I$27,MATCH(MIN(REP.yearsrange),$E$16:$E$27,0))-1,"")</f>
        <v>0.90552630810308155</v>
      </c>
      <c r="J13" s="135">
        <f ca="1">IFERROR(INDEX(J$16:J$27,MATCH(MAX(REP.yearsrange),$E$16:$E$27,0))/INDEX(J$16:J$27,MATCH(MIN(REP.yearsrange),$E$16:$E$27,0))-1,"")</f>
        <v>-0.11434684057775202</v>
      </c>
      <c r="K13" s="135">
        <f ca="1">IFERROR(INDEX(K$16:K$27,MATCH(MAX(REP.yearsrange),$E$16:$E$27,0))/INDEX(K$16:K$27,MATCH(MIN(REP.yearsrange),$E$16:$E$27,0))-1,"")</f>
        <v>-3.6721158323564373E-2</v>
      </c>
      <c r="L13" s="135">
        <f ca="1">IFERROR(INDEX(L$16:L$27,MATCH(MAX(REP.yearsrange),$E$16:$E$27,0))/INDEX(L$16:L$27,MATCH(MIN(REP.yearsrange),$E$16:$E$27,0))-1,"")</f>
        <v>-3.6441089344201205E-2</v>
      </c>
      <c r="M13" s="135">
        <f ca="1">IFERROR(INDEX(M$16:M$27,MATCH(MAX(REP.yearsrange),$E$16:$E$27,0))/INDEX(M$16:M$27,MATCH(MIN(REP.yearsrange),$E$16:$E$27,0))-1,"")</f>
        <v>-5.9033405948612949E-2</v>
      </c>
      <c r="N13" s="135">
        <f ca="1">IFERROR(INDEX(N$16:N$27,MATCH(MAX(REP.yearsrange),$E$16:$E$27,0))/INDEX(N$16:N$27,MATCH(MIN(REP.yearsrange),$E$16:$E$27,0))-1,"")</f>
        <v>6.1933958726094751E-3</v>
      </c>
      <c r="O13" s="135">
        <f ca="1">IFERROR(INDEX(O$16:O$27,MATCH(MAX(REP.yearsrange),$E$16:$E$27,0))/INDEX(O$16:O$27,MATCH(MIN(REP.yearsrange),$E$16:$E$27,0))-1,"")</f>
        <v>8.371733641350021E-3</v>
      </c>
      <c r="P13" s="135">
        <f ca="1">IFERROR(INDEX(P$16:P$27,MATCH(MAX(REP.yearsrange),$E$16:$E$27,0))/INDEX(P$16:P$27,MATCH(MIN(REP.yearsrange),$E$16:$E$27,0))-1,"")</f>
        <v>9.2691095924124944E-2</v>
      </c>
      <c r="Q13" s="135">
        <f ca="1">IFERROR(INDEX(Q$16:Q$27,MATCH(MAX(REP.yearsrange),$E$16:$E$27,0))/INDEX(Q$16:Q$27,MATCH(MIN(REP.yearsrange),$E$16:$E$27,0))-1,"")</f>
        <v>0.83193515397216311</v>
      </c>
      <c r="R13" s="135">
        <f ca="1">IFERROR(INDEX(R$16:R$27,MATCH(MAX(REP.yearsrange),$E$16:$E$27,0))/INDEX(R$16:R$27,MATCH(MIN(REP.yearsrange),$E$16:$E$27,0))-1,"")</f>
        <v>0.77021965937719972</v>
      </c>
      <c r="S13" s="135">
        <f ca="1">IFERROR(INDEX(S$16:S$27,MATCH(MAX(REP.yearsrange),$E$16:$E$27,0))/INDEX(S$16:S$27,MATCH(MIN(REP.yearsrange),$E$16:$E$27,0))-1,"")</f>
        <v>9.5225086648030199E-2</v>
      </c>
      <c r="T13" s="997" t="str">
        <f>"Annual"&amp;CHAR(10)&amp;"Change"</f>
        <v>Annual
Change</v>
      </c>
      <c r="U13" s="135">
        <f ca="1">IFERROR(INDEX(U$16:U$27,MATCH(MAX(REP.yearsrange),$E$16:$E$27,0))/INDEX(U$16:U$27,MATCH(MIN(REP.yearsrange),$E$16:$E$27,0))-1,"")</f>
        <v>0.73424604658030534</v>
      </c>
      <c r="V13" s="135">
        <f ca="1">IFERROR(INDEX(V$16:V$27,MATCH(MAX(REP.yearsrange),$E$16:$E$27,0))/INDEX(V$16:V$27,MATCH(MIN(REP.yearsrange),$E$16:$E$27,0))-1,"")</f>
        <v>-6.1790935824758364E-2</v>
      </c>
      <c r="W13" s="135">
        <f ca="1">IFERROR(INDEX(W$16:W$27,MATCH(MAX(REP.yearsrange),$E$16:$E$27,0))/INDEX(W$16:W$27,MATCH(MIN(REP.yearsrange),$E$16:$E$27,0))-1,"")</f>
        <v>-1.6737966805606019E-2</v>
      </c>
      <c r="X13" s="135">
        <f ca="1">IFERROR(INDEX(X$16:X$27,MATCH(MAX(REP.yearsrange),$E$16:$E$27,0))/INDEX(X$16:X$27,MATCH(MIN(REP.yearsrange),$E$16:$E$27,0))-1,"")</f>
        <v>0.37324763085999169</v>
      </c>
    </row>
    <row r="14" spans="1:25" ht="16.2" customHeight="1" thickTop="1" thickBot="1" x14ac:dyDescent="0.35">
      <c r="D14" s="112"/>
      <c r="E14" s="996" t="str">
        <f>"% Change "&amp;INDEX(REP.yearsrange,COUNT(REP.yearsrange)-1)&amp;" to "&amp;MAX(REP.yearsrange)</f>
        <v>% Change 2021 to 2022</v>
      </c>
      <c r="F14" s="996"/>
      <c r="G14" s="135" t="str">
        <f ca="1">IFERROR(INDEX(G$16:G$27,MATCH(MAX(REP.yearsrange),$E$16:$E$27,0))/INDEX(G$16:G$27,MATCH(INDEX(REP.yearsrange,COUNT(REP.yearsrange)-1),$E$16:$E$27,0))-1,"")</f>
        <v/>
      </c>
      <c r="H14" s="135" t="str">
        <f ca="1">IFERROR(INDEX(H$16:H$27,MATCH(MAX(REP.yearsrange),$E$16:$E$27,0))/INDEX(H$16:H$27,MATCH(INDEX(REP.yearsrange,COUNT(REP.yearsrange)-1),$E$16:$E$27,0))-1,"")</f>
        <v/>
      </c>
      <c r="I14" s="135">
        <f ca="1">IFERROR(INDEX(I$16:I$27,MATCH(MAX(REP.yearsrange),$E$16:$E$27,0))/INDEX(I$16:I$27,MATCH(INDEX(REP.yearsrange,COUNT(REP.yearsrange)-1),$E$16:$E$27,0))-1,"")</f>
        <v>5.3150546307574134</v>
      </c>
      <c r="J14" s="135">
        <f ca="1">IFERROR(INDEX(J$16:J$27,MATCH(MAX(REP.yearsrange),$E$16:$E$27,0))/INDEX(J$16:J$27,MATCH(INDEX(REP.yearsrange,COUNT(REP.yearsrange)-1),$E$16:$E$27,0))-1,"")</f>
        <v>0.9322380202875733</v>
      </c>
      <c r="K14" s="135">
        <f ca="1">IFERROR(INDEX(K$16:K$27,MATCH(MAX(REP.yearsrange),$E$16:$E$27,0))/INDEX(K$16:K$27,MATCH(INDEX(REP.yearsrange,COUNT(REP.yearsrange)-1),$E$16:$E$27,0))-1,"")</f>
        <v>0.65298805423887285</v>
      </c>
      <c r="L14" s="135">
        <f ca="1">IFERROR(INDEX(L$16:L$27,MATCH(MAX(REP.yearsrange),$E$16:$E$27,0))/INDEX(L$16:L$27,MATCH(INDEX(REP.yearsrange,COUNT(REP.yearsrange)-1),$E$16:$E$27,0))-1,"")</f>
        <v>6.6411157565054779E-2</v>
      </c>
      <c r="M14" s="135">
        <f ca="1">IFERROR(INDEX(M$16:M$27,MATCH(MAX(REP.yearsrange),$E$16:$E$27,0))/INDEX(M$16:M$27,MATCH(INDEX(REP.yearsrange,COUNT(REP.yearsrange)-1),$E$16:$E$27,0))-1,"")</f>
        <v>0.10221571332104951</v>
      </c>
      <c r="N14" s="135">
        <f ca="1">IFERROR(INDEX(N$16:N$27,MATCH(MAX(REP.yearsrange),$E$16:$E$27,0))/INDEX(N$16:N$27,MATCH(INDEX(REP.yearsrange,COUNT(REP.yearsrange)-1),$E$16:$E$27,0))-1,"")</f>
        <v>1.9547494338290727E-2</v>
      </c>
      <c r="O14" s="135">
        <f ca="1">IFERROR(INDEX(O$16:O$27,MATCH(MAX(REP.yearsrange),$E$16:$E$27,0))/INDEX(O$16:O$27,MATCH(INDEX(REP.yearsrange,COUNT(REP.yearsrange)-1),$E$16:$E$27,0))-1,"")</f>
        <v>-0.16811540524558177</v>
      </c>
      <c r="P14" s="135">
        <f ca="1">IFERROR(INDEX(P$16:P$27,MATCH(MAX(REP.yearsrange),$E$16:$E$27,0))/INDEX(P$16:P$27,MATCH(INDEX(REP.yearsrange,COUNT(REP.yearsrange)-1),$E$16:$E$27,0))-1,"")</f>
        <v>-0.15615445975216846</v>
      </c>
      <c r="Q14" s="135">
        <f ca="1">IFERROR(INDEX(Q$16:Q$27,MATCH(MAX(REP.yearsrange),$E$16:$E$27,0))/INDEX(Q$16:Q$27,MATCH(INDEX(REP.yearsrange,COUNT(REP.yearsrange)-1),$E$16:$E$27,0))-1,"")</f>
        <v>0.27403030896152725</v>
      </c>
      <c r="R14" s="135">
        <f ca="1">IFERROR(INDEX(R$16:R$27,MATCH(MAX(REP.yearsrange),$E$16:$E$27,0))/INDEX(R$16:R$27,MATCH(INDEX(REP.yearsrange,COUNT(REP.yearsrange)-1),$E$16:$E$27,0))-1,"")</f>
        <v>0.14330398658139765</v>
      </c>
      <c r="S14" s="135">
        <f ca="1">IFERROR(INDEX(S$16:S$27,MATCH(MAX(REP.yearsrange),$E$16:$E$27,0))/INDEX(S$16:S$27,MATCH(INDEX(REP.yearsrange,COUNT(REP.yearsrange)-1),$E$16:$E$27,0))-1,"")</f>
        <v>0.32804364568177968</v>
      </c>
      <c r="T14" s="997"/>
      <c r="U14" s="135">
        <f ca="1">IFERROR(INDEX(U$16:U$27,MATCH(MAX(REP.yearsrange),$E$16:$E$27,0))/INDEX(U$16:U$27,MATCH(INDEX(REP.yearsrange,COUNT(REP.yearsrange)-1),$E$16:$E$27,0))-1,"")</f>
        <v>10.399175329464946</v>
      </c>
      <c r="V14" s="135">
        <f ca="1">IFERROR(INDEX(V$16:V$27,MATCH(MAX(REP.yearsrange),$E$16:$E$27,0))/INDEX(V$16:V$27,MATCH(INDEX(REP.yearsrange,COUNT(REP.yearsrange)-1),$E$16:$E$27,0))-1,"")</f>
        <v>0.41578661101802616</v>
      </c>
      <c r="W14" s="135">
        <f ca="1">IFERROR(INDEX(W$16:W$27,MATCH(MAX(REP.yearsrange),$E$16:$E$27,0))/INDEX(W$16:W$27,MATCH(INDEX(REP.yearsrange,COUNT(REP.yearsrange)-1),$E$16:$E$27,0))-1,"")</f>
        <v>-7.7527398856984675E-3</v>
      </c>
      <c r="X14" s="135">
        <f ca="1">IFERROR(INDEX(X$16:X$27,MATCH(MAX(REP.yearsrange),$E$16:$E$27,0))/INDEX(X$16:X$27,MATCH(INDEX(REP.yearsrange,COUNT(REP.yearsrange)-1),$E$16:$E$27,0))-1,"")</f>
        <v>2.0616350986593091E-3</v>
      </c>
    </row>
    <row r="15" spans="1:25" ht="16.2" customHeight="1" thickTop="1" thickBot="1" x14ac:dyDescent="0.35">
      <c r="D15" s="112"/>
      <c r="E15" s="996" t="s">
        <v>116</v>
      </c>
      <c r="F15" s="996"/>
      <c r="G15" s="135">
        <f ca="1">IFERROR(G13/(MAX(REP.yearsrange)-MIN(REP.yearsrange)),"")</f>
        <v>6.756023674726172E-2</v>
      </c>
      <c r="H15" s="135">
        <f ca="1">IFERROR(H13/(MAX(REP.yearsrange)-MIN(REP.yearsrange)),"")</f>
        <v>3.83911109789246E-2</v>
      </c>
      <c r="I15" s="135">
        <f ca="1">IFERROR(I13/(MAX(REP.yearsrange)-MIN(REP.yearsrange)),"")</f>
        <v>8.232057346391651E-2</v>
      </c>
      <c r="J15" s="135">
        <f ca="1">IFERROR(J13/(MAX(REP.yearsrange)-MIN(REP.yearsrange)),"")</f>
        <v>-1.0395167325250183E-2</v>
      </c>
      <c r="K15" s="135">
        <f ca="1">IFERROR(K13/(MAX(REP.yearsrange)-MIN(REP.yearsrange)),"")</f>
        <v>-3.3382871203240338E-3</v>
      </c>
      <c r="L15" s="135">
        <f ca="1">IFERROR(L13/(MAX(REP.yearsrange)-MIN(REP.yearsrange)),"")</f>
        <v>-3.3128263040182915E-3</v>
      </c>
      <c r="M15" s="135">
        <f ca="1">IFERROR(M13/(MAX(REP.yearsrange)-MIN(REP.yearsrange)),"")</f>
        <v>-5.3666732680557223E-3</v>
      </c>
      <c r="N15" s="135">
        <f ca="1">IFERROR(N13/(MAX(REP.yearsrange)-MIN(REP.yearsrange)),"")</f>
        <v>5.6303598841904315E-4</v>
      </c>
      <c r="O15" s="135">
        <f ca="1">IFERROR(O13/(MAX(REP.yearsrange)-MIN(REP.yearsrange)),"")</f>
        <v>7.6106669466818367E-4</v>
      </c>
      <c r="P15" s="135">
        <f ca="1">IFERROR(P13/(MAX(REP.yearsrange)-MIN(REP.yearsrange)),"")</f>
        <v>8.426463265829541E-3</v>
      </c>
      <c r="Q15" s="135">
        <f ca="1">IFERROR(Q13/(MAX(REP.yearsrange)-MIN(REP.yearsrange)),"")</f>
        <v>7.563046854292392E-2</v>
      </c>
      <c r="R15" s="135">
        <f ca="1">IFERROR(R13/(MAX(REP.yearsrange)-MIN(REP.yearsrange)),"")</f>
        <v>7.0019969034290877E-2</v>
      </c>
      <c r="S15" s="135">
        <f ca="1">IFERROR(S13/(MAX(REP.yearsrange)-MIN(REP.yearsrange)),"")</f>
        <v>8.6568260589118366E-3</v>
      </c>
      <c r="T15" s="997"/>
      <c r="U15" s="135">
        <f ca="1">IFERROR(U13/(MAX(REP.yearsrange)-MIN(REP.yearsrange)),"")</f>
        <v>6.6749640598209578E-2</v>
      </c>
      <c r="V15" s="135">
        <f ca="1">IFERROR(V13/(MAX(REP.yearsrange)-MIN(REP.yearsrange)),"")</f>
        <v>-5.6173578022507605E-3</v>
      </c>
      <c r="W15" s="135">
        <f ca="1">IFERROR(W13/(MAX(REP.yearsrange)-MIN(REP.yearsrange)),"")</f>
        <v>-1.5216333459641836E-3</v>
      </c>
      <c r="X15" s="135">
        <f ca="1">IFERROR(X13/(MAX(REP.yearsrange)-MIN(REP.yearsrange)),"")</f>
        <v>3.3931602805453792E-2</v>
      </c>
    </row>
    <row r="16" spans="1:25" ht="16.2" customHeight="1" thickTop="1" thickBot="1" x14ac:dyDescent="0.35">
      <c r="D16" s="112"/>
      <c r="E16" s="193">
        <f t="array" ref="E16:E27">INDEX(REP.yearsrange,REP.yearnos)</f>
        <v>2011</v>
      </c>
      <c r="F16" s="194" t="str">
        <f ca="1">IF($A$2=1,"000s",IF(A2=1000,"M","Bn"))</f>
        <v>M</v>
      </c>
      <c r="G16" s="596">
        <f t="array" aca="1" ref="G16:G27" ca="1">TN.MONTHLYDATA</f>
        <v>0.16470993703490594</v>
      </c>
      <c r="H16" s="596">
        <f t="array" aca="1" ref="H16:H27" ca="1">TN.MONTHLYDATA</f>
        <v>0.21890790782402197</v>
      </c>
      <c r="I16" s="596">
        <f t="array" aca="1" ref="I16:I27" ca="1">TN.MONTHLYDATA</f>
        <v>0.3901110614014805</v>
      </c>
      <c r="J16" s="597">
        <f t="array" aca="1" ref="J16:J27" ca="1">TN.MONTHLYDATA</f>
        <v>0.87363040357576716</v>
      </c>
      <c r="K16" s="597">
        <f t="array" aca="1" ref="K16:K27" ca="1">TN.MONTHLYDATA</f>
        <v>0.81027238900440335</v>
      </c>
      <c r="L16" s="597">
        <f t="array" aca="1" ref="L16:L27" ca="1">TN.MONTHLYDATA</f>
        <v>1.0099109590893125</v>
      </c>
      <c r="M16" s="598">
        <f t="array" aca="1" ref="M16:M27" ca="1">TN.MONTHLYDATA</f>
        <v>1.0209946129065608</v>
      </c>
      <c r="N16" s="598">
        <f t="array" aca="1" ref="N16:N27" ca="1">TN.MONTHLYDATA</f>
        <v>1.1662153537946649</v>
      </c>
      <c r="O16" s="598">
        <f t="array" aca="1" ref="O16:O27" ca="1">TN.MONTHLYDATA</f>
        <v>0.65474728826371742</v>
      </c>
      <c r="P16" s="599">
        <f t="array" aca="1" ref="P16:P27" ca="1">TN.MONTHLYDATA</f>
        <v>0.53779262808049577</v>
      </c>
      <c r="Q16" s="599">
        <f t="array" aca="1" ref="Q16:Q27" ca="1">TN.MONTHLYDATA</f>
        <v>0.19554926569027589</v>
      </c>
      <c r="R16" s="599">
        <f t="array" aca="1" ref="R16:R27" ca="1">TN.MONTHLYDATA</f>
        <v>0.15412982156698313</v>
      </c>
      <c r="S16" s="600">
        <f t="array" aca="1" ref="S16:S27" ca="1">TN.MONTHLYDATA</f>
        <v>7.19697162823259</v>
      </c>
      <c r="T16" s="997"/>
      <c r="U16" s="596">
        <f ca="1">IF(SUM(G16:I16)=0,"",SUM(G16:I16))</f>
        <v>0.77372890626040847</v>
      </c>
      <c r="V16" s="597">
        <f ca="1">IF(SUM(J16:L16)=0,"",SUM(J16:L16))</f>
        <v>2.6938137516694831</v>
      </c>
      <c r="W16" s="598">
        <f ca="1">IF(SUM(M16:O16)=0,"",SUM(M16:O16))</f>
        <v>2.8419572549649432</v>
      </c>
      <c r="X16" s="599">
        <f ca="1">IF(SUM(P16:R16)=0,"",SUM(P16:R16))</f>
        <v>0.88747171533775471</v>
      </c>
      <c r="Y16" s="73"/>
    </row>
    <row r="17" spans="4:24" ht="16.2" customHeight="1" thickTop="1" thickBot="1" x14ac:dyDescent="0.35">
      <c r="D17" s="112"/>
      <c r="E17" s="193">
        <v>2012</v>
      </c>
      <c r="F17" s="194" t="str">
        <f ca="1">$F$16</f>
        <v>M</v>
      </c>
      <c r="G17" s="596">
        <f ca="1"/>
        <v>0.15714065929442195</v>
      </c>
      <c r="H17" s="596">
        <f ca="1"/>
        <v>0.20176141471652517</v>
      </c>
      <c r="I17" s="596">
        <f ca="1"/>
        <v>0.38472725886389092</v>
      </c>
      <c r="J17" s="597">
        <f ca="1"/>
        <v>0.74504177835072205</v>
      </c>
      <c r="K17" s="597">
        <f ca="1"/>
        <v>0.68977367538389356</v>
      </c>
      <c r="L17" s="597">
        <f ca="1"/>
        <v>0.92445972813566291</v>
      </c>
      <c r="M17" s="598">
        <f ca="1"/>
        <v>0.88761004152368195</v>
      </c>
      <c r="N17" s="598">
        <f ca="1"/>
        <v>1.0736527009423285</v>
      </c>
      <c r="O17" s="598">
        <f ca="1"/>
        <v>0.60439547716610087</v>
      </c>
      <c r="P17" s="599">
        <f ca="1"/>
        <v>0.54036938306830762</v>
      </c>
      <c r="Q17" s="599">
        <f ca="1"/>
        <v>0.186224884535726</v>
      </c>
      <c r="R17" s="599">
        <f ca="1"/>
        <v>0.14843956872549766</v>
      </c>
      <c r="S17" s="600">
        <f ca="1"/>
        <v>6.54359657070676</v>
      </c>
      <c r="T17" s="195">
        <f ca="1">IFERROR(IF(S17&lt;&gt;0,S17/S16-1,""),"")</f>
        <v>-9.0784720473642277E-2</v>
      </c>
      <c r="U17" s="596">
        <f t="shared" ref="U17:U27" ca="1" si="0">IF(SUM(G17:I17)=0,"",SUM(G17:I17))</f>
        <v>0.74362933287483801</v>
      </c>
      <c r="V17" s="597">
        <f t="shared" ref="V17:V27" ca="1" si="1">IF(SUM(J17:L17)=0,"",SUM(J17:L17))</f>
        <v>2.3592751818702786</v>
      </c>
      <c r="W17" s="598">
        <f t="shared" ref="W17:W27" ca="1" si="2">IF(SUM(M17:O17)=0,"",SUM(M17:O17))</f>
        <v>2.5656582196321116</v>
      </c>
      <c r="X17" s="599">
        <f t="shared" ref="X17:X27" ca="1" si="3">IF(SUM(P17:R17)=0,"",SUM(P17:R17))</f>
        <v>0.87503383632953124</v>
      </c>
    </row>
    <row r="18" spans="4:24" ht="16.2" customHeight="1" thickTop="1" thickBot="1" x14ac:dyDescent="0.35">
      <c r="D18" s="112"/>
      <c r="E18" s="193">
        <v>2013</v>
      </c>
      <c r="F18" s="194" t="str">
        <f t="shared" ref="F18:F27" ca="1" si="4">$F$16</f>
        <v>M</v>
      </c>
      <c r="G18" s="596">
        <f ca="1"/>
        <v>0.18719932099495165</v>
      </c>
      <c r="H18" s="596">
        <f ca="1"/>
        <v>0.22688227640561517</v>
      </c>
      <c r="I18" s="596">
        <f ca="1"/>
        <v>0.5247905138461626</v>
      </c>
      <c r="J18" s="597">
        <f ca="1"/>
        <v>0.69235378048646934</v>
      </c>
      <c r="K18" s="597">
        <f ca="1"/>
        <v>0.68893261454288879</v>
      </c>
      <c r="L18" s="597">
        <f ca="1"/>
        <v>0.85324347534096523</v>
      </c>
      <c r="M18" s="598">
        <f ca="1"/>
        <v>0.89424946925223503</v>
      </c>
      <c r="N18" s="598">
        <f ca="1"/>
        <v>1.0288424899454256</v>
      </c>
      <c r="O18" s="598">
        <f ca="1"/>
        <v>0.57626421147620721</v>
      </c>
      <c r="P18" s="599">
        <f ca="1"/>
        <v>0.51787702251014189</v>
      </c>
      <c r="Q18" s="599">
        <f ca="1"/>
        <v>0.25569771424441284</v>
      </c>
      <c r="R18" s="599">
        <f ca="1"/>
        <v>0.19185352208088399</v>
      </c>
      <c r="S18" s="600">
        <f ca="1"/>
        <v>6.6381864111263607</v>
      </c>
      <c r="T18" s="195">
        <f t="shared" ref="T18:T27" ca="1" si="5">IFERROR(IF(S18&lt;&gt;0,S18/S17-1,""),"")</f>
        <v>1.4455328869607209E-2</v>
      </c>
      <c r="U18" s="596">
        <f t="shared" ca="1" si="0"/>
        <v>0.93887211124672942</v>
      </c>
      <c r="V18" s="597">
        <f t="shared" ca="1" si="1"/>
        <v>2.2345298703703236</v>
      </c>
      <c r="W18" s="598">
        <f t="shared" ca="1" si="2"/>
        <v>2.4993561706738681</v>
      </c>
      <c r="X18" s="599">
        <f t="shared" ca="1" si="3"/>
        <v>0.9654282588354387</v>
      </c>
    </row>
    <row r="19" spans="4:24" ht="16.2" customHeight="1" thickTop="1" thickBot="1" x14ac:dyDescent="0.35">
      <c r="D19" s="112"/>
      <c r="E19" s="193">
        <v>2014</v>
      </c>
      <c r="F19" s="194" t="str">
        <f t="shared" ca="1" si="4"/>
        <v>M</v>
      </c>
      <c r="G19" s="596">
        <f ca="1"/>
        <v>0.18181083578743767</v>
      </c>
      <c r="H19" s="596">
        <f ca="1"/>
        <v>0.25560078340441228</v>
      </c>
      <c r="I19" s="596">
        <f ca="1"/>
        <v>0.59792640895353932</v>
      </c>
      <c r="J19" s="597">
        <f ca="1"/>
        <v>0.72066027715367997</v>
      </c>
      <c r="K19" s="597">
        <f ca="1"/>
        <v>0.71542325749022484</v>
      </c>
      <c r="L19" s="597">
        <f ca="1"/>
        <v>0.85670602484022318</v>
      </c>
      <c r="M19" s="598">
        <f ca="1"/>
        <v>0.89226299530009823</v>
      </c>
      <c r="N19" s="598">
        <f ca="1"/>
        <v>1.0538287655445908</v>
      </c>
      <c r="O19" s="598">
        <f ca="1"/>
        <v>0.60336982732831435</v>
      </c>
      <c r="P19" s="599">
        <f ca="1"/>
        <v>0.52744823005700092</v>
      </c>
      <c r="Q19" s="599">
        <f ca="1"/>
        <v>0.2424596584007134</v>
      </c>
      <c r="R19" s="599">
        <f ca="1"/>
        <v>0.19977914718791573</v>
      </c>
      <c r="S19" s="600">
        <f ca="1"/>
        <v>6.8472762114481505</v>
      </c>
      <c r="T19" s="195">
        <f t="shared" ca="1" si="5"/>
        <v>3.1498030843383873E-2</v>
      </c>
      <c r="U19" s="596">
        <f t="shared" ca="1" si="0"/>
        <v>1.0353380281453892</v>
      </c>
      <c r="V19" s="597">
        <f t="shared" ca="1" si="1"/>
        <v>2.2927895594841279</v>
      </c>
      <c r="W19" s="598">
        <f t="shared" ca="1" si="2"/>
        <v>2.5494615881730036</v>
      </c>
      <c r="X19" s="599">
        <f t="shared" ca="1" si="3"/>
        <v>0.96968703564562997</v>
      </c>
    </row>
    <row r="20" spans="4:24" ht="16.2" customHeight="1" thickTop="1" thickBot="1" x14ac:dyDescent="0.35">
      <c r="D20" s="112"/>
      <c r="E20" s="193">
        <v>2015</v>
      </c>
      <c r="F20" s="194" t="str">
        <f t="shared" ca="1" si="4"/>
        <v>M</v>
      </c>
      <c r="G20" s="596">
        <f ca="1"/>
        <v>0.17689516586378845</v>
      </c>
      <c r="H20" s="596">
        <f ca="1"/>
        <v>0.25243175274542284</v>
      </c>
      <c r="I20" s="596">
        <f ca="1"/>
        <v>0.61669166992739999</v>
      </c>
      <c r="J20" s="597">
        <f ca="1"/>
        <v>0.6951512497608815</v>
      </c>
      <c r="K20" s="597">
        <f ca="1"/>
        <v>0.7138801958553842</v>
      </c>
      <c r="L20" s="597">
        <f ca="1"/>
        <v>0.83690696710870249</v>
      </c>
      <c r="M20" s="598">
        <f ca="1"/>
        <v>0.89757189953297289</v>
      </c>
      <c r="N20" s="598">
        <f ca="1"/>
        <v>1.0772000020550763</v>
      </c>
      <c r="O20" s="598">
        <f ca="1"/>
        <v>0.57286697653123242</v>
      </c>
      <c r="P20" s="599">
        <f ca="1"/>
        <v>0.54519826430615237</v>
      </c>
      <c r="Q20" s="599">
        <f ca="1"/>
        <v>0.29409086771137788</v>
      </c>
      <c r="R20" s="599">
        <f ca="1"/>
        <v>0.19979717669759686</v>
      </c>
      <c r="S20" s="600">
        <f ca="1"/>
        <v>6.8786821880959881</v>
      </c>
      <c r="T20" s="195">
        <f t="shared" ca="1" si="5"/>
        <v>4.5866379094403609E-3</v>
      </c>
      <c r="U20" s="596">
        <f t="shared" ca="1" si="0"/>
        <v>1.0460185885366113</v>
      </c>
      <c r="V20" s="597">
        <f t="shared" ca="1" si="1"/>
        <v>2.2459384127249682</v>
      </c>
      <c r="W20" s="598">
        <f t="shared" ca="1" si="2"/>
        <v>2.5476388781192814</v>
      </c>
      <c r="X20" s="599">
        <f t="shared" ca="1" si="3"/>
        <v>1.039086308715127</v>
      </c>
    </row>
    <row r="21" spans="4:24" ht="16.2" customHeight="1" thickTop="1" thickBot="1" x14ac:dyDescent="0.35">
      <c r="D21" s="112"/>
      <c r="E21" s="193">
        <v>2016</v>
      </c>
      <c r="F21" s="194" t="str">
        <f t="shared" ca="1" si="4"/>
        <v>M</v>
      </c>
      <c r="G21" s="596">
        <f ca="1"/>
        <v>0.18351127055198768</v>
      </c>
      <c r="H21" s="596">
        <f ca="1"/>
        <v>0.26221274803512729</v>
      </c>
      <c r="I21" s="596">
        <f ca="1"/>
        <v>0.77822300349127027</v>
      </c>
      <c r="J21" s="597">
        <f ca="1"/>
        <v>0.61502565758060479</v>
      </c>
      <c r="K21" s="597">
        <f ca="1"/>
        <v>0.64891748219042089</v>
      </c>
      <c r="L21" s="597">
        <f ca="1"/>
        <v>0.86643385315333421</v>
      </c>
      <c r="M21" s="598">
        <f ca="1"/>
        <v>0.88608571099782174</v>
      </c>
      <c r="N21" s="598">
        <f ca="1"/>
        <v>1.0834001963923066</v>
      </c>
      <c r="O21" s="598">
        <f ca="1"/>
        <v>0.61335751482772893</v>
      </c>
      <c r="P21" s="599">
        <f ca="1"/>
        <v>0.5691077157918808</v>
      </c>
      <c r="Q21" s="599">
        <f ca="1"/>
        <v>0.34010815477590878</v>
      </c>
      <c r="R21" s="599">
        <f ca="1"/>
        <v>0.24972373065991305</v>
      </c>
      <c r="S21" s="600">
        <f ca="1"/>
        <v>7.096107038448304</v>
      </c>
      <c r="T21" s="195">
        <f t="shared" ca="1" si="5"/>
        <v>3.1608503548627986E-2</v>
      </c>
      <c r="U21" s="596">
        <f t="shared" ca="1" si="0"/>
        <v>1.2239470220783852</v>
      </c>
      <c r="V21" s="597">
        <f t="shared" ca="1" si="1"/>
        <v>2.1303769929243597</v>
      </c>
      <c r="W21" s="598">
        <f t="shared" ca="1" si="2"/>
        <v>2.5828434222178571</v>
      </c>
      <c r="X21" s="599">
        <f t="shared" ca="1" si="3"/>
        <v>1.1589396012277025</v>
      </c>
    </row>
    <row r="22" spans="4:24" ht="16.2" customHeight="1" thickTop="1" thickBot="1" x14ac:dyDescent="0.35">
      <c r="D22" s="112"/>
      <c r="E22" s="193">
        <v>2017</v>
      </c>
      <c r="F22" s="194" t="str">
        <f t="shared" ca="1" si="4"/>
        <v>M</v>
      </c>
      <c r="G22" s="596">
        <f ca="1"/>
        <v>0.2180622217875304</v>
      </c>
      <c r="H22" s="596">
        <f ca="1"/>
        <v>0.29795366145756691</v>
      </c>
      <c r="I22" s="596">
        <f ca="1"/>
        <v>0.64944996778964903</v>
      </c>
      <c r="J22" s="597">
        <f ca="1"/>
        <v>0.82321905186023381</v>
      </c>
      <c r="K22" s="597">
        <f ca="1"/>
        <v>0.71048050284777253</v>
      </c>
      <c r="L22" s="597">
        <f ca="1"/>
        <v>0.91738863181757258</v>
      </c>
      <c r="M22" s="598">
        <f ca="1"/>
        <v>0.90260756657059149</v>
      </c>
      <c r="N22" s="598">
        <f ca="1"/>
        <v>1.1119505765233713</v>
      </c>
      <c r="O22" s="598">
        <f ca="1"/>
        <v>0.61872163103295852</v>
      </c>
      <c r="P22" s="599">
        <f ca="1"/>
        <v>0.52976689891416551</v>
      </c>
      <c r="Q22" s="599">
        <f ca="1"/>
        <v>0.33148239558603659</v>
      </c>
      <c r="R22" s="599">
        <f ca="1"/>
        <v>0.24482843443020902</v>
      </c>
      <c r="S22" s="600">
        <f ca="1"/>
        <v>7.3559115406176572</v>
      </c>
      <c r="T22" s="195">
        <f t="shared" ca="1" si="5"/>
        <v>3.6612258067934222E-2</v>
      </c>
      <c r="U22" s="596">
        <f t="shared" ca="1" si="0"/>
        <v>1.1654658510347464</v>
      </c>
      <c r="V22" s="597">
        <f t="shared" ca="1" si="1"/>
        <v>2.4510881865255789</v>
      </c>
      <c r="W22" s="598">
        <f t="shared" ca="1" si="2"/>
        <v>2.6332797741269212</v>
      </c>
      <c r="X22" s="599">
        <f t="shared" ca="1" si="3"/>
        <v>1.1060777289304111</v>
      </c>
    </row>
    <row r="23" spans="4:24" ht="16.2" customHeight="1" thickTop="1" thickBot="1" x14ac:dyDescent="0.35">
      <c r="D23" s="112"/>
      <c r="E23" s="193">
        <v>2018</v>
      </c>
      <c r="F23" s="194" t="str">
        <f t="shared" ca="1" si="4"/>
        <v>M</v>
      </c>
      <c r="G23" s="596">
        <f ca="1"/>
        <v>0.23399284311986226</v>
      </c>
      <c r="H23" s="596">
        <f ca="1"/>
        <v>0.29020475169375481</v>
      </c>
      <c r="I23" s="596">
        <f ca="1"/>
        <v>0.67963296190792621</v>
      </c>
      <c r="J23" s="597">
        <f ca="1"/>
        <v>0.71607662669836958</v>
      </c>
      <c r="K23" s="597">
        <f ca="1"/>
        <v>0.78777732113386878</v>
      </c>
      <c r="L23" s="597">
        <f ca="1"/>
        <v>0.99006903299654614</v>
      </c>
      <c r="M23" s="598">
        <f ca="1"/>
        <v>0.94171740769109968</v>
      </c>
      <c r="N23" s="598">
        <f ca="1"/>
        <v>1.135666992982203</v>
      </c>
      <c r="O23" s="598">
        <f ca="1"/>
        <v>0.64752514479399248</v>
      </c>
      <c r="P23" s="599">
        <f ca="1"/>
        <v>0.56828295432677711</v>
      </c>
      <c r="Q23" s="599">
        <f ca="1"/>
        <v>0.31933318286964202</v>
      </c>
      <c r="R23" s="599">
        <f ca="1"/>
        <v>0.20839797544881061</v>
      </c>
      <c r="S23" s="600">
        <f ca="1"/>
        <v>7.5186771956628533</v>
      </c>
      <c r="T23" s="195">
        <f t="shared" ca="1" si="5"/>
        <v>2.2127190375583083E-2</v>
      </c>
      <c r="U23" s="596">
        <f t="shared" ca="1" si="0"/>
        <v>1.2038305567215433</v>
      </c>
      <c r="V23" s="597">
        <f t="shared" ca="1" si="1"/>
        <v>2.4939229808287844</v>
      </c>
      <c r="W23" s="598">
        <f t="shared" ca="1" si="2"/>
        <v>2.7249095454672956</v>
      </c>
      <c r="X23" s="599">
        <f t="shared" ca="1" si="3"/>
        <v>1.0960141126452296</v>
      </c>
    </row>
    <row r="24" spans="4:24" ht="16.2" customHeight="1" thickTop="1" thickBot="1" x14ac:dyDescent="0.35">
      <c r="D24" s="112"/>
      <c r="E24" s="193">
        <v>2019</v>
      </c>
      <c r="F24" s="194" t="str">
        <f t="shared" ca="1" si="4"/>
        <v>M</v>
      </c>
      <c r="G24" s="596">
        <f ca="1"/>
        <v>0.25986619274566086</v>
      </c>
      <c r="H24" s="596">
        <f ca="1"/>
        <v>0.30729237349606719</v>
      </c>
      <c r="I24" s="596">
        <f ca="1"/>
        <v>0.68188673832614499</v>
      </c>
      <c r="J24" s="597">
        <f ca="1"/>
        <v>0.83633676239487709</v>
      </c>
      <c r="K24" s="597">
        <f ca="1"/>
        <v>0.86176719311277161</v>
      </c>
      <c r="L24" s="597">
        <f ca="1"/>
        <v>0.95564303412400742</v>
      </c>
      <c r="M24" s="598">
        <f ca="1"/>
        <v>0.92733244115935687</v>
      </c>
      <c r="N24" s="598">
        <f ca="1"/>
        <v>1.1351499553287954</v>
      </c>
      <c r="O24" s="598">
        <f ca="1"/>
        <v>0.66477002727117884</v>
      </c>
      <c r="P24" s="599">
        <f ca="1"/>
        <v>0.56816670529169311</v>
      </c>
      <c r="Q24" s="599">
        <f ca="1"/>
        <v>0.33465915084990933</v>
      </c>
      <c r="R24" s="599">
        <f ca="1"/>
        <v>0.27630750269022591</v>
      </c>
      <c r="S24" s="600">
        <f ca="1"/>
        <v>7.8091780767906895</v>
      </c>
      <c r="T24" s="195">
        <f t="shared" ca="1" si="5"/>
        <v>3.8637232796137511E-2</v>
      </c>
      <c r="U24" s="596">
        <f t="shared" ca="1" si="0"/>
        <v>1.2490453045678729</v>
      </c>
      <c r="V24" s="597">
        <f t="shared" ca="1" si="1"/>
        <v>2.6537469896316561</v>
      </c>
      <c r="W24" s="598">
        <f t="shared" ca="1" si="2"/>
        <v>2.7272524237593312</v>
      </c>
      <c r="X24" s="599">
        <f t="shared" ca="1" si="3"/>
        <v>1.1791333588318285</v>
      </c>
    </row>
    <row r="25" spans="4:24" ht="16.2" customHeight="1" thickTop="1" thickBot="1" x14ac:dyDescent="0.35">
      <c r="D25" s="112"/>
      <c r="E25" s="193">
        <v>2020</v>
      </c>
      <c r="F25" s="194" t="str">
        <f t="shared" ca="1" si="4"/>
        <v>M</v>
      </c>
      <c r="G25" s="596">
        <f ca="1"/>
        <v>0.23133061084278447</v>
      </c>
      <c r="H25" s="596">
        <f ca="1"/>
        <v>0.24923935629961386</v>
      </c>
      <c r="I25" s="596">
        <f ca="1"/>
        <v>0.47827908027434979</v>
      </c>
      <c r="J25" s="597">
        <f ca="1"/>
        <v>3.3989533799129223E-2</v>
      </c>
      <c r="K25" s="597">
        <f ca="1"/>
        <v>3.9675072207145383E-2</v>
      </c>
      <c r="L25" s="597">
        <f ca="1"/>
        <v>4.952635903489977E-2</v>
      </c>
      <c r="M25" s="598">
        <f ca="1"/>
        <v>0.43249201616512645</v>
      </c>
      <c r="N25" s="598">
        <f ca="1"/>
        <v>0.96789699891070513</v>
      </c>
      <c r="O25" s="598">
        <f ca="1"/>
        <v>0.69712775485681389</v>
      </c>
      <c r="P25" s="599">
        <f ca="1"/>
        <v>0.28231837964331885</v>
      </c>
      <c r="Q25" s="599">
        <f ca="1"/>
        <v>0.10307889334556214</v>
      </c>
      <c r="R25" s="599">
        <f ca="1"/>
        <v>6.171971951948186E-2</v>
      </c>
      <c r="S25" s="600">
        <f ca="1"/>
        <v>3.6266737748989306</v>
      </c>
      <c r="T25" s="195">
        <f t="shared" ca="1" si="5"/>
        <v>-0.53558828608639286</v>
      </c>
      <c r="U25" s="596">
        <f t="shared" ca="1" si="0"/>
        <v>0.95884904741674815</v>
      </c>
      <c r="V25" s="597">
        <f t="shared" ca="1" si="1"/>
        <v>0.12319096504117438</v>
      </c>
      <c r="W25" s="598">
        <f t="shared" ca="1" si="2"/>
        <v>2.0975167699326454</v>
      </c>
      <c r="X25" s="599">
        <f t="shared" ca="1" si="3"/>
        <v>0.44711699250836284</v>
      </c>
    </row>
    <row r="26" spans="4:24" ht="16.2" customHeight="1" thickTop="1" thickBot="1" x14ac:dyDescent="0.35">
      <c r="D26" s="112"/>
      <c r="E26" s="193">
        <v>2021</v>
      </c>
      <c r="F26" s="194" t="str">
        <f t="shared" ca="1" si="4"/>
        <v>M</v>
      </c>
      <c r="G26" s="596">
        <f ca="1"/>
        <v>0</v>
      </c>
      <c r="H26" s="596">
        <f ca="1"/>
        <v>0</v>
      </c>
      <c r="I26" s="596">
        <f ca="1"/>
        <v>0.11771345365121251</v>
      </c>
      <c r="J26" s="597">
        <f ca="1"/>
        <v>0.40043385906414242</v>
      </c>
      <c r="K26" s="597">
        <f ca="1"/>
        <v>0.47218626070589098</v>
      </c>
      <c r="L26" s="597">
        <f ca="1"/>
        <v>0.91250799159055862</v>
      </c>
      <c r="M26" s="598">
        <f ca="1"/>
        <v>0.87162776926558394</v>
      </c>
      <c r="N26" s="598">
        <f ca="1"/>
        <v>1.1509401902998333</v>
      </c>
      <c r="O26" s="598">
        <f ca="1"/>
        <v>0.7936541466528354</v>
      </c>
      <c r="P26" s="599">
        <f ca="1"/>
        <v>0.69638480993169216</v>
      </c>
      <c r="Q26" s="599">
        <f ca="1"/>
        <v>0.28118135936927452</v>
      </c>
      <c r="R26" s="599">
        <f ca="1"/>
        <v>0.2386448778596543</v>
      </c>
      <c r="S26" s="600">
        <f ca="1"/>
        <v>5.9352747183906773</v>
      </c>
      <c r="T26" s="195">
        <f t="shared" ca="1" si="5"/>
        <v>0.63656151249944815</v>
      </c>
      <c r="U26" s="596">
        <f t="shared" ca="1" si="0"/>
        <v>0.11771345365121251</v>
      </c>
      <c r="V26" s="597">
        <f t="shared" ca="1" si="1"/>
        <v>1.7851281113605921</v>
      </c>
      <c r="W26" s="598">
        <f t="shared" ca="1" si="2"/>
        <v>2.8162221062182526</v>
      </c>
      <c r="X26" s="599">
        <f t="shared" ca="1" si="3"/>
        <v>1.2162110471606211</v>
      </c>
    </row>
    <row r="27" spans="4:24" ht="16.2" customHeight="1" thickTop="1" thickBot="1" x14ac:dyDescent="0.35">
      <c r="D27" s="112"/>
      <c r="E27" s="193">
        <v>2022</v>
      </c>
      <c r="F27" s="194" t="str">
        <f t="shared" ca="1" si="4"/>
        <v>M</v>
      </c>
      <c r="G27" s="596">
        <f ca="1"/>
        <v>0.28711620278265892</v>
      </c>
      <c r="H27" s="596">
        <f ca="1"/>
        <v>0.31135320344182044</v>
      </c>
      <c r="I27" s="596">
        <f ca="1"/>
        <v>0.74336689058253769</v>
      </c>
      <c r="J27" s="597">
        <f ca="1"/>
        <v>0.77373352709421173</v>
      </c>
      <c r="K27" s="597">
        <f ca="1"/>
        <v>0.78051824832255989</v>
      </c>
      <c r="L27" s="597">
        <f ca="1"/>
        <v>0.9731087035994509</v>
      </c>
      <c r="M27" s="598">
        <f ca="1"/>
        <v>0.96072182345150081</v>
      </c>
      <c r="N27" s="598">
        <f ca="1"/>
        <v>1.1734381871534305</v>
      </c>
      <c r="O27" s="598">
        <f ca="1"/>
        <v>0.66022865816345755</v>
      </c>
      <c r="P27" s="599">
        <f ca="1"/>
        <v>0.58764121615719223</v>
      </c>
      <c r="Q27" s="599">
        <f ca="1"/>
        <v>0.35823357415145901</v>
      </c>
      <c r="R27" s="599">
        <f ca="1"/>
        <v>0.27284364023417346</v>
      </c>
      <c r="S27" s="600">
        <f ca="1"/>
        <v>7.8823038751344532</v>
      </c>
      <c r="T27" s="195">
        <f t="shared" ca="1" si="5"/>
        <v>0.32804364568177968</v>
      </c>
      <c r="U27" s="596">
        <f t="shared" ca="1" si="0"/>
        <v>1.341836296807017</v>
      </c>
      <c r="V27" s="597">
        <f t="shared" ca="1" si="1"/>
        <v>2.5273604790162225</v>
      </c>
      <c r="W27" s="598">
        <f t="shared" ca="1" si="2"/>
        <v>2.7943886687683888</v>
      </c>
      <c r="X27" s="599">
        <f t="shared" ca="1" si="3"/>
        <v>1.2187184305428247</v>
      </c>
    </row>
    <row r="28" spans="4:24" ht="16.2" customHeight="1" thickTop="1" thickBot="1" x14ac:dyDescent="0.35">
      <c r="D28" s="112"/>
      <c r="E28" s="867" t="str">
        <f ca="1">$A$1</f>
        <v>VISITOR NUMBERS</v>
      </c>
      <c r="F28" s="866"/>
      <c r="G28" s="866"/>
      <c r="H28" s="866"/>
      <c r="I28" s="866"/>
      <c r="J28" s="866"/>
      <c r="K28" s="866"/>
      <c r="L28" s="866"/>
      <c r="M28" s="866"/>
      <c r="N28" s="866"/>
      <c r="O28" s="866"/>
      <c r="P28" s="866"/>
      <c r="Q28" s="866"/>
      <c r="R28" s="866"/>
      <c r="S28" s="867" t="str">
        <f>UPPER(TYPE.userselected)</f>
        <v>TOTAL</v>
      </c>
      <c r="T28" s="866"/>
      <c r="U28" s="866"/>
      <c r="V28" s="866"/>
      <c r="W28" s="866"/>
      <c r="X28" s="868"/>
    </row>
    <row r="29" spans="4:24" ht="16.2" customHeight="1" thickTop="1" thickBot="1" x14ac:dyDescent="0.35">
      <c r="D29" s="196" t="str">
        <f t="shared" ref="D29:D35" ca="1" si="6">"'"&amp;$A$1&amp;"'!"&amp;CELL("address",G29)&amp;":"&amp;CELL("address",OFFSET(G29,0,YEARSINREP-1))</f>
        <v>'VISITOR NUMBERS'!$G$29:$R$29</v>
      </c>
      <c r="E29" s="956" t="s">
        <v>120</v>
      </c>
      <c r="F29" s="957"/>
      <c r="G29" s="197">
        <f t="array" ref="G29:R29">TRANSPOSE(REP.yearsrange)</f>
        <v>2011</v>
      </c>
      <c r="H29" s="197">
        <v>2012</v>
      </c>
      <c r="I29" s="198">
        <v>2013</v>
      </c>
      <c r="J29" s="198">
        <v>2014</v>
      </c>
      <c r="K29" s="198">
        <v>2015</v>
      </c>
      <c r="L29" s="198">
        <v>2016</v>
      </c>
      <c r="M29" s="198">
        <v>2017</v>
      </c>
      <c r="N29" s="198">
        <v>2018</v>
      </c>
      <c r="O29" s="198">
        <v>2019</v>
      </c>
      <c r="P29" s="198">
        <v>2020</v>
      </c>
      <c r="Q29" s="198">
        <v>2021</v>
      </c>
      <c r="R29" s="198">
        <v>2022</v>
      </c>
      <c r="S29" s="198"/>
      <c r="T29" s="199"/>
      <c r="U29" s="199"/>
      <c r="V29" s="199"/>
      <c r="W29" s="199"/>
      <c r="X29" s="199"/>
    </row>
    <row r="30" spans="4:24" ht="16.2" customHeight="1" thickTop="1" thickBot="1" x14ac:dyDescent="0.35">
      <c r="D30" s="196" t="str">
        <f t="shared" ca="1" si="6"/>
        <v>'VISITOR NUMBERS'!$G$30:$R$30</v>
      </c>
      <c r="E30" s="200" t="str">
        <f>IF(TYPE.userselected="SFR",TYPE.userselected,PROPER(VISTYPE.short))</f>
        <v>Total</v>
      </c>
      <c r="F30" s="194" t="str">
        <f ca="1">$F$16</f>
        <v>M</v>
      </c>
      <c r="G30" s="601">
        <f t="array" ref="G30:R30" ca="1">TN.SHARE_VT_ANN</f>
        <v>7.19697162823259</v>
      </c>
      <c r="H30" s="601">
        <f ca="1"/>
        <v>6.54359657070676</v>
      </c>
      <c r="I30" s="601">
        <f ca="1"/>
        <v>6.6381864111263607</v>
      </c>
      <c r="J30" s="601">
        <f ca="1"/>
        <v>6.8472762114481505</v>
      </c>
      <c r="K30" s="601">
        <f ca="1"/>
        <v>6.8786821880959881</v>
      </c>
      <c r="L30" s="601">
        <f ca="1"/>
        <v>7.096107038448304</v>
      </c>
      <c r="M30" s="601">
        <f ca="1"/>
        <v>7.3559115406176572</v>
      </c>
      <c r="N30" s="601">
        <f ca="1"/>
        <v>7.5186771956628533</v>
      </c>
      <c r="O30" s="601">
        <f ca="1"/>
        <v>7.8091780767906895</v>
      </c>
      <c r="P30" s="601">
        <f ca="1"/>
        <v>3.6266737748989306</v>
      </c>
      <c r="Q30" s="601">
        <f ca="1"/>
        <v>5.9352747183906773</v>
      </c>
      <c r="R30" s="601">
        <f ca="1"/>
        <v>7.8823038751344532</v>
      </c>
      <c r="S30" s="201"/>
      <c r="T30" s="199"/>
      <c r="U30" s="199"/>
      <c r="V30" s="199"/>
      <c r="W30" s="199"/>
      <c r="X30" s="199"/>
    </row>
    <row r="31" spans="4:24" ht="16.2" customHeight="1" thickTop="1" thickBot="1" x14ac:dyDescent="0.35">
      <c r="D31" s="196" t="str">
        <f t="shared" ca="1" si="6"/>
        <v>'VISITOR NUMBERS'!$G$31:$R$31</v>
      </c>
      <c r="E31" s="200" t="s">
        <v>96</v>
      </c>
      <c r="F31" s="194" t="str">
        <f>IF($A$4=1,"000s",IF(A4=1000,"M","Bn"))</f>
        <v>M</v>
      </c>
      <c r="G31" s="602">
        <f t="array" aca="1" ref="G31:R31" ca="1">TN.SHARE_TOTAL_ANN</f>
        <v>7.19697162823259</v>
      </c>
      <c r="H31" s="602">
        <f ca="1"/>
        <v>6.54359657070676</v>
      </c>
      <c r="I31" s="602">
        <f ca="1"/>
        <v>6.6381864111263607</v>
      </c>
      <c r="J31" s="602">
        <f ca="1"/>
        <v>6.8472762114481505</v>
      </c>
      <c r="K31" s="602">
        <f ca="1"/>
        <v>6.8786821880959881</v>
      </c>
      <c r="L31" s="602">
        <f ca="1"/>
        <v>7.096107038448304</v>
      </c>
      <c r="M31" s="602">
        <f ca="1"/>
        <v>7.3559115406176572</v>
      </c>
      <c r="N31" s="602">
        <f ca="1"/>
        <v>7.5186771956628533</v>
      </c>
      <c r="O31" s="602">
        <f ca="1"/>
        <v>7.8091780767906895</v>
      </c>
      <c r="P31" s="602">
        <f ca="1"/>
        <v>3.6266737748989306</v>
      </c>
      <c r="Q31" s="602">
        <f ca="1"/>
        <v>5.9352747183906773</v>
      </c>
      <c r="R31" s="602">
        <f ca="1"/>
        <v>7.8823038751344532</v>
      </c>
      <c r="S31" s="202"/>
      <c r="T31" s="199"/>
      <c r="U31" s="199"/>
      <c r="V31" s="199"/>
      <c r="W31" s="199"/>
      <c r="X31" s="199"/>
    </row>
    <row r="32" spans="4:24" ht="16.2" customHeight="1" thickTop="1" thickBot="1" x14ac:dyDescent="0.35">
      <c r="D32" s="196" t="str">
        <f t="shared" ca="1" si="6"/>
        <v>'VISITOR NUMBERS'!$G$32:$R$32</v>
      </c>
      <c r="E32" s="200" t="s">
        <v>121</v>
      </c>
      <c r="F32" s="194" t="s">
        <v>117</v>
      </c>
      <c r="G32" s="135">
        <f t="array" ref="G32:R32" ca="1">IFERROR((TN.SHARE_VT_ANN*$A$2)/(TN.SHARE_TOTAL_ANN*$A$4),"")</f>
        <v>1</v>
      </c>
      <c r="H32" s="135">
        <f ca="1"/>
        <v>1</v>
      </c>
      <c r="I32" s="135">
        <f ca="1"/>
        <v>1</v>
      </c>
      <c r="J32" s="135">
        <f ca="1"/>
        <v>1</v>
      </c>
      <c r="K32" s="135">
        <f ca="1"/>
        <v>1</v>
      </c>
      <c r="L32" s="135">
        <f ca="1"/>
        <v>1</v>
      </c>
      <c r="M32" s="135">
        <f ca="1"/>
        <v>1</v>
      </c>
      <c r="N32" s="135">
        <f ca="1"/>
        <v>1</v>
      </c>
      <c r="O32" s="135">
        <f ca="1"/>
        <v>1</v>
      </c>
      <c r="P32" s="135">
        <f ca="1"/>
        <v>1</v>
      </c>
      <c r="Q32" s="135">
        <f ca="1"/>
        <v>1</v>
      </c>
      <c r="R32" s="135">
        <f ca="1"/>
        <v>1</v>
      </c>
      <c r="S32" s="135"/>
      <c r="T32" s="199"/>
      <c r="U32" s="199"/>
      <c r="V32" s="199"/>
      <c r="W32" s="199"/>
      <c r="X32" s="199"/>
    </row>
    <row r="33" spans="4:24" ht="16.2" customHeight="1" thickTop="1" thickBot="1" x14ac:dyDescent="0.35">
      <c r="D33" s="196" t="str">
        <f t="shared" ca="1" si="6"/>
        <v>'VISITOR NUMBERS'!$G$33:$R$33</v>
      </c>
      <c r="E33" s="200" t="s">
        <v>122</v>
      </c>
      <c r="F33" s="194" t="s">
        <v>117</v>
      </c>
      <c r="G33" s="195"/>
      <c r="H33" s="135">
        <f ca="1">IFERROR(H32/G32-1,"")</f>
        <v>0</v>
      </c>
      <c r="I33" s="135">
        <f t="shared" ref="I33:R33" ca="1" si="7">IFERROR(I32/H32-1,"")</f>
        <v>0</v>
      </c>
      <c r="J33" s="135">
        <f t="shared" ca="1" si="7"/>
        <v>0</v>
      </c>
      <c r="K33" s="135">
        <f t="shared" ca="1" si="7"/>
        <v>0</v>
      </c>
      <c r="L33" s="135">
        <f t="shared" ca="1" si="7"/>
        <v>0</v>
      </c>
      <c r="M33" s="135">
        <f t="shared" ca="1" si="7"/>
        <v>0</v>
      </c>
      <c r="N33" s="135">
        <f t="shared" ca="1" si="7"/>
        <v>0</v>
      </c>
      <c r="O33" s="135">
        <f t="shared" ca="1" si="7"/>
        <v>0</v>
      </c>
      <c r="P33" s="135">
        <f t="shared" ca="1" si="7"/>
        <v>0</v>
      </c>
      <c r="Q33" s="135">
        <f t="shared" ca="1" si="7"/>
        <v>0</v>
      </c>
      <c r="R33" s="135">
        <f t="shared" ca="1" si="7"/>
        <v>0</v>
      </c>
      <c r="S33" s="135"/>
      <c r="T33" s="199"/>
      <c r="U33" s="199"/>
      <c r="V33" s="199"/>
      <c r="W33" s="199"/>
      <c r="X33" s="199"/>
    </row>
    <row r="34" spans="4:24" ht="16.2" customHeight="1" thickTop="1" thickBot="1" x14ac:dyDescent="0.35">
      <c r="D34" s="196" t="str">
        <f t="shared" ca="1" si="6"/>
        <v>'VISITOR NUMBERS'!$G$34:$R$34</v>
      </c>
      <c r="E34" s="200" t="str">
        <f>"Change in Share from "&amp;MIN(REP.yearsrange)</f>
        <v>Change in Share from 2011</v>
      </c>
      <c r="F34" s="194" t="s">
        <v>117</v>
      </c>
      <c r="G34" s="195"/>
      <c r="H34" s="135">
        <f t="shared" ref="H34:R34" ca="1" si="8">IFERROR(H32/$G$32-1,"")</f>
        <v>0</v>
      </c>
      <c r="I34" s="135">
        <f t="shared" ca="1" si="8"/>
        <v>0</v>
      </c>
      <c r="J34" s="135">
        <f t="shared" ca="1" si="8"/>
        <v>0</v>
      </c>
      <c r="K34" s="135">
        <f t="shared" ca="1" si="8"/>
        <v>0</v>
      </c>
      <c r="L34" s="135">
        <f t="shared" ca="1" si="8"/>
        <v>0</v>
      </c>
      <c r="M34" s="135">
        <f t="shared" ca="1" si="8"/>
        <v>0</v>
      </c>
      <c r="N34" s="135">
        <f t="shared" ca="1" si="8"/>
        <v>0</v>
      </c>
      <c r="O34" s="135">
        <f t="shared" ca="1" si="8"/>
        <v>0</v>
      </c>
      <c r="P34" s="135">
        <f t="shared" ca="1" si="8"/>
        <v>0</v>
      </c>
      <c r="Q34" s="135">
        <f t="shared" ca="1" si="8"/>
        <v>0</v>
      </c>
      <c r="R34" s="135">
        <f t="shared" ca="1" si="8"/>
        <v>0</v>
      </c>
      <c r="S34" s="135"/>
      <c r="T34" s="199"/>
      <c r="U34" s="199"/>
      <c r="V34" s="199"/>
      <c r="W34" s="199"/>
      <c r="X34" s="199"/>
    </row>
    <row r="35" spans="4:24" ht="16.2" customHeight="1" thickTop="1" thickBot="1" x14ac:dyDescent="0.35">
      <c r="D35" s="196" t="str">
        <f t="shared" ca="1" si="6"/>
        <v>'VISITOR NUMBERS'!$G$35:$R$35</v>
      </c>
      <c r="E35" s="200" t="s">
        <v>146</v>
      </c>
      <c r="F35" s="194" t="s">
        <v>117</v>
      </c>
      <c r="G35" s="195"/>
      <c r="H35" s="135">
        <f ca="1">IFERROR(H34/(H$29-$G$29),"")</f>
        <v>0</v>
      </c>
      <c r="I35" s="135">
        <f t="shared" ref="I35:R35" ca="1" si="9">IFERROR(I34/(I$29-$G$29),"")</f>
        <v>0</v>
      </c>
      <c r="J35" s="135">
        <f t="shared" ca="1" si="9"/>
        <v>0</v>
      </c>
      <c r="K35" s="135">
        <f t="shared" ca="1" si="9"/>
        <v>0</v>
      </c>
      <c r="L35" s="135">
        <f t="shared" ca="1" si="9"/>
        <v>0</v>
      </c>
      <c r="M35" s="135">
        <f t="shared" ca="1" si="9"/>
        <v>0</v>
      </c>
      <c r="N35" s="135">
        <f t="shared" ca="1" si="9"/>
        <v>0</v>
      </c>
      <c r="O35" s="135">
        <f t="shared" ca="1" si="9"/>
        <v>0</v>
      </c>
      <c r="P35" s="135">
        <f t="shared" ca="1" si="9"/>
        <v>0</v>
      </c>
      <c r="Q35" s="135">
        <f t="shared" ca="1" si="9"/>
        <v>0</v>
      </c>
      <c r="R35" s="135">
        <f t="shared" ca="1" si="9"/>
        <v>0</v>
      </c>
      <c r="S35" s="135"/>
      <c r="T35" s="199"/>
      <c r="U35" s="199"/>
      <c r="V35" s="199"/>
      <c r="W35" s="199"/>
      <c r="X35" s="199"/>
    </row>
    <row r="36" spans="4:24" ht="16.2" customHeight="1" thickTop="1" thickBot="1" x14ac:dyDescent="0.35">
      <c r="D36" s="196"/>
      <c r="E36" s="663"/>
      <c r="F36" s="267"/>
      <c r="G36" s="195"/>
      <c r="H36" s="135"/>
      <c r="I36" s="135"/>
      <c r="J36" s="135"/>
      <c r="K36" s="135"/>
      <c r="L36" s="135"/>
      <c r="M36" s="135"/>
      <c r="N36" s="135"/>
      <c r="O36" s="135"/>
      <c r="P36" s="135"/>
      <c r="Q36" s="135"/>
      <c r="R36" s="135"/>
      <c r="S36" s="135"/>
      <c r="T36" s="199"/>
      <c r="U36" s="199"/>
      <c r="V36" s="199"/>
      <c r="W36" s="199"/>
      <c r="X36" s="199"/>
    </row>
    <row r="37" spans="4:24" ht="16.2" customHeight="1" thickTop="1" thickBot="1" x14ac:dyDescent="0.35">
      <c r="D37" s="112"/>
      <c r="E37" s="203" t="str">
        <f>IF(COUNT(REP.yearsrange)&lt;MAX(REP.yearnos),"Note: This report caters for a period of up to 12 years. Parts of this page are intentionally left blank to accommodate new data as it becomes available.","")</f>
        <v/>
      </c>
      <c r="F37" s="129"/>
      <c r="G37" s="129"/>
      <c r="H37" s="129"/>
      <c r="I37" s="129"/>
      <c r="J37" s="129"/>
      <c r="K37" s="129"/>
      <c r="L37" s="129"/>
      <c r="M37" s="129"/>
      <c r="N37" s="129"/>
      <c r="O37" s="129"/>
      <c r="P37" s="129"/>
      <c r="Q37" s="129"/>
      <c r="R37" s="129"/>
      <c r="S37" s="199"/>
      <c r="T37" s="199"/>
      <c r="U37" s="199"/>
      <c r="V37" s="199"/>
      <c r="W37" s="199"/>
      <c r="X37" s="199"/>
    </row>
    <row r="38" spans="4:24" s="42" customFormat="1" ht="16.2" customHeight="1" thickTop="1" thickBot="1" x14ac:dyDescent="0.2">
      <c r="D38" s="170"/>
      <c r="E38" s="171" t="str">
        <f>REP.footer1</f>
        <v>This report is copyright © Global Tourism Solutions (UK) Ltd 2023</v>
      </c>
      <c r="F38" s="172"/>
      <c r="G38" s="172"/>
      <c r="H38" s="172"/>
      <c r="I38" s="172"/>
      <c r="J38" s="172"/>
      <c r="K38" s="172"/>
      <c r="L38" s="172"/>
      <c r="M38" s="172"/>
      <c r="N38" s="172"/>
      <c r="O38" s="172"/>
      <c r="P38" s="172"/>
      <c r="Q38" s="172"/>
      <c r="R38" s="172"/>
      <c r="S38" s="172"/>
      <c r="T38" s="172"/>
      <c r="U38" s="172"/>
      <c r="V38" s="172"/>
      <c r="W38" s="172"/>
      <c r="X38" s="173" t="str">
        <f>REP.footer2</f>
        <v>Report Prepared by: Cathy James. Date of Issue: 14/08/23</v>
      </c>
    </row>
    <row r="39" spans="4:24" ht="16.2" customHeight="1" thickTop="1" x14ac:dyDescent="0.3"/>
    <row r="40" spans="4:24" ht="16.2" customHeight="1" x14ac:dyDescent="0.3">
      <c r="G40" s="76"/>
      <c r="H40" s="76"/>
      <c r="I40" s="76"/>
      <c r="J40" s="76"/>
      <c r="K40" s="76"/>
      <c r="L40" s="76"/>
      <c r="M40" s="76"/>
      <c r="N40" s="76"/>
      <c r="O40" s="76"/>
      <c r="P40" s="76"/>
      <c r="Q40" s="76"/>
      <c r="R40" s="76"/>
      <c r="S40" s="76"/>
      <c r="T40" s="76"/>
      <c r="U40" s="76"/>
      <c r="V40" s="76"/>
    </row>
    <row r="41" spans="4:24" ht="16.2" customHeight="1" x14ac:dyDescent="0.3">
      <c r="G41" s="76"/>
      <c r="H41" s="76"/>
      <c r="I41" s="76"/>
      <c r="J41" s="76"/>
      <c r="K41" s="76"/>
      <c r="L41" s="76"/>
      <c r="M41" s="76"/>
      <c r="N41" s="76"/>
      <c r="O41" s="76"/>
      <c r="P41" s="76"/>
      <c r="Q41" s="76"/>
      <c r="R41" s="76"/>
      <c r="S41" s="76"/>
      <c r="T41" s="76"/>
      <c r="U41" s="76"/>
      <c r="V41" s="76"/>
    </row>
    <row r="70" spans="7:23" ht="16.2" customHeight="1" x14ac:dyDescent="0.3">
      <c r="G70" s="39" t="s">
        <v>43</v>
      </c>
      <c r="H70" s="39" t="s">
        <v>43</v>
      </c>
      <c r="J70" s="39" t="s">
        <v>48</v>
      </c>
      <c r="K70" s="39" t="s">
        <v>48</v>
      </c>
      <c r="M70" s="39" t="s">
        <v>18</v>
      </c>
      <c r="N70" s="39" t="s">
        <v>18</v>
      </c>
      <c r="P70" s="39" t="s">
        <v>95</v>
      </c>
      <c r="S70" s="39" t="s">
        <v>71</v>
      </c>
      <c r="T70" s="39" t="s">
        <v>71</v>
      </c>
      <c r="V70" s="39" t="s">
        <v>54</v>
      </c>
      <c r="W70" s="39" t="s">
        <v>54</v>
      </c>
    </row>
  </sheetData>
  <sheetProtection algorithmName="SHA-512" hashValue="6sNeWAraqd9K+AZKTMebosce+b6BMSNU/CHjGvcTxPvMn+VN/3DwqVWi1TpYVBXYTc4kTaeVh/UpjfMLp4+3YA==" saltValue="glC6fgOjRTVT8EUB9RXqvA==" spinCount="100000" sheet="1" objects="1" scenarios="1"/>
  <mergeCells count="26">
    <mergeCell ref="E15:F15"/>
    <mergeCell ref="S6:T7"/>
    <mergeCell ref="U6:X7"/>
    <mergeCell ref="E8:F8"/>
    <mergeCell ref="G8:R8"/>
    <mergeCell ref="S8:T9"/>
    <mergeCell ref="U8:X11"/>
    <mergeCell ref="E9:F9"/>
    <mergeCell ref="G9:R9"/>
    <mergeCell ref="P6:R7"/>
    <mergeCell ref="E28:R28"/>
    <mergeCell ref="S28:X28"/>
    <mergeCell ref="E29:F29"/>
    <mergeCell ref="E10:F10"/>
    <mergeCell ref="G10:R10"/>
    <mergeCell ref="S10:S12"/>
    <mergeCell ref="T10:T12"/>
    <mergeCell ref="E11:F11"/>
    <mergeCell ref="G11:I11"/>
    <mergeCell ref="J11:L11"/>
    <mergeCell ref="M11:O11"/>
    <mergeCell ref="P11:R11"/>
    <mergeCell ref="E12:F12"/>
    <mergeCell ref="E13:F13"/>
    <mergeCell ref="T13:T16"/>
    <mergeCell ref="E14:F14"/>
  </mergeCells>
  <conditionalFormatting sqref="E16:X27">
    <cfRule type="expression" dxfId="124" priority="37">
      <formula>$E16=0</formula>
    </cfRule>
  </conditionalFormatting>
  <conditionalFormatting sqref="G9:R9">
    <cfRule type="expression" dxfId="123" priority="18">
      <formula>TYPE.no=2</formula>
    </cfRule>
    <cfRule type="expression" dxfId="122" priority="19">
      <formula>TYPE.no=1</formula>
    </cfRule>
    <cfRule type="expression" dxfId="121" priority="14">
      <formula>TYPE.no=6</formula>
    </cfRule>
    <cfRule type="expression" dxfId="120" priority="15">
      <formula>TYPE.no=5</formula>
    </cfRule>
    <cfRule type="expression" dxfId="119" priority="16">
      <formula>TYPE.no=4</formula>
    </cfRule>
    <cfRule type="expression" dxfId="118" priority="17">
      <formula>TYPE.no=3</formula>
    </cfRule>
  </conditionalFormatting>
  <conditionalFormatting sqref="G13:S15">
    <cfRule type="expression" priority="4" stopIfTrue="1">
      <formula>G13=""</formula>
    </cfRule>
    <cfRule type="cellIs" dxfId="117" priority="5" operator="lessThanOrEqual">
      <formula>-REP.percenthighlight</formula>
    </cfRule>
    <cfRule type="cellIs" dxfId="116" priority="6" operator="greaterThanOrEqual">
      <formula>REP.percenthighlight</formula>
    </cfRule>
  </conditionalFormatting>
  <conditionalFormatting sqref="G16:S27 U16:X27 G30:R31">
    <cfRule type="expression" dxfId="115" priority="7">
      <formula>$A$2=1</formula>
    </cfRule>
    <cfRule type="expression" dxfId="114" priority="29">
      <formula>AND($A$2&gt;1,G16&lt;10)</formula>
    </cfRule>
  </conditionalFormatting>
  <conditionalFormatting sqref="G30:S34 H35:S36">
    <cfRule type="expression" dxfId="113" priority="30" stopIfTrue="1">
      <formula>G$29=0</formula>
    </cfRule>
  </conditionalFormatting>
  <conditionalFormatting sqref="G33:S34">
    <cfRule type="cellIs" dxfId="112" priority="33" operator="lessThanOrEqual">
      <formula>-REP.percenthighlight</formula>
    </cfRule>
    <cfRule type="cellIs" dxfId="111" priority="34" operator="greaterThanOrEqual">
      <formula>REP.percenthighlight</formula>
    </cfRule>
  </conditionalFormatting>
  <conditionalFormatting sqref="H35:S36">
    <cfRule type="cellIs" dxfId="110" priority="31" operator="lessThanOrEqual">
      <formula>-REP.percenthighlight</formula>
    </cfRule>
    <cfRule type="cellIs" dxfId="109" priority="32" operator="greaterThanOrEqual">
      <formula>REP.percenthighlight</formula>
    </cfRule>
  </conditionalFormatting>
  <conditionalFormatting sqref="I29:S29">
    <cfRule type="expression" dxfId="108" priority="35">
      <formula>I29=0</formula>
    </cfRule>
  </conditionalFormatting>
  <conditionalFormatting sqref="S6:T7">
    <cfRule type="expression" dxfId="107" priority="20">
      <formula>TYPE.no=6</formula>
    </cfRule>
    <cfRule type="expression" dxfId="106" priority="21">
      <formula>TYPE.no=5</formula>
    </cfRule>
    <cfRule type="expression" dxfId="105" priority="22">
      <formula>TYPE.no=4</formula>
    </cfRule>
    <cfRule type="expression" dxfId="104" priority="23">
      <formula>TYPE.no=3</formula>
    </cfRule>
    <cfRule type="expression" dxfId="103" priority="24">
      <formula>TYPE.no=2</formula>
    </cfRule>
    <cfRule type="expression" dxfId="102" priority="25">
      <formula>TYPE.no=1</formula>
    </cfRule>
  </conditionalFormatting>
  <conditionalFormatting sqref="S28:X28">
    <cfRule type="expression" dxfId="101" priority="8">
      <formula>TYPE.no=6</formula>
    </cfRule>
    <cfRule type="expression" dxfId="100" priority="9">
      <formula>TYPE.no=5</formula>
    </cfRule>
    <cfRule type="expression" dxfId="99" priority="10">
      <formula>TYPE.no=4</formula>
    </cfRule>
    <cfRule type="expression" dxfId="98" priority="11">
      <formula>TYPE.no=3</formula>
    </cfRule>
    <cfRule type="expression" dxfId="97" priority="12">
      <formula>TYPE.no=2</formula>
    </cfRule>
    <cfRule type="expression" dxfId="96" priority="13">
      <formula>TYPE.no=1</formula>
    </cfRule>
  </conditionalFormatting>
  <conditionalFormatting sqref="T17:T27">
    <cfRule type="cellIs" dxfId="95" priority="56" operator="lessThanOrEqual">
      <formula>-REP.percenthighlight</formula>
    </cfRule>
    <cfRule type="cellIs" dxfId="94" priority="55" operator="greaterThanOrEqual">
      <formula>REP.percenthighlight</formula>
    </cfRule>
  </conditionalFormatting>
  <conditionalFormatting sqref="U13:X15">
    <cfRule type="cellIs" dxfId="93" priority="3" operator="greaterThanOrEqual">
      <formula>REP.percenthighlight</formula>
    </cfRule>
    <cfRule type="cellIs" dxfId="92" priority="2" operator="lessThanOrEqual">
      <formula>-REP.percenthighlight</formula>
    </cfRule>
    <cfRule type="expression" priority="1" stopIfTrue="1">
      <formula>U13=""</formula>
    </cfRule>
  </conditionalFormatting>
  <printOptions horizontalCentered="1" verticalCentered="1"/>
  <pageMargins left="0.70866141732283472" right="0.70866141732283472" top="0.74803149606299213" bottom="0.74803149606299213" header="0.31496062992125984" footer="0.31496062992125984"/>
  <pageSetup paperSize="9" scale="98"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118787" r:id="rId4" name="Drop Down 3">
              <controlPr defaultSize="0" autoLine="0" autoPict="0">
                <anchor moveWithCells="1">
                  <from>
                    <xdr:col>21</xdr:col>
                    <xdr:colOff>182880</xdr:colOff>
                    <xdr:row>4</xdr:row>
                    <xdr:rowOff>22860</xdr:rowOff>
                  </from>
                  <to>
                    <xdr:col>22</xdr:col>
                    <xdr:colOff>266700</xdr:colOff>
                    <xdr:row>4</xdr:row>
                    <xdr:rowOff>297180</xdr:rowOff>
                  </to>
                </anchor>
              </controlPr>
            </control>
          </mc:Choice>
        </mc:AlternateContent>
        <mc:AlternateContent xmlns:mc="http://schemas.openxmlformats.org/markup-compatibility/2006">
          <mc:Choice Requires="x14">
            <control shapeId="118789" r:id="rId5" name="Drop Down 5">
              <controlPr defaultSize="0" autoLine="0" autoPict="0">
                <anchor moveWithCells="1">
                  <from>
                    <xdr:col>9</xdr:col>
                    <xdr:colOff>175260</xdr:colOff>
                    <xdr:row>4</xdr:row>
                    <xdr:rowOff>22860</xdr:rowOff>
                  </from>
                  <to>
                    <xdr:col>13</xdr:col>
                    <xdr:colOff>152400</xdr:colOff>
                    <xdr:row>4</xdr:row>
                    <xdr:rowOff>297180</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Output05">
    <tabColor rgb="FFFF0000"/>
    <outlinePr showOutlineSymbols="0"/>
    <pageSetUpPr autoPageBreaks="0" fitToPage="1"/>
  </sheetPr>
  <dimension ref="A1:Y70"/>
  <sheetViews>
    <sheetView showGridLines="0" showRowColHeaders="0" showZeros="0" showOutlineSymbols="0" zoomScaleNormal="100" workbookViewId="0">
      <pane ySplit="7" topLeftCell="A8" activePane="bottomLeft" state="frozen"/>
      <selection activeCell="G33" sqref="G33:G35"/>
      <selection pane="bottomLeft" activeCell="U21" sqref="U21:V22"/>
    </sheetView>
  </sheetViews>
  <sheetFormatPr defaultColWidth="4.88671875" defaultRowHeight="16.2" customHeight="1" x14ac:dyDescent="0.3"/>
  <cols>
    <col min="1" max="3" width="4.88671875" style="39"/>
    <col min="4" max="4" width="4.88671875" style="40"/>
    <col min="5" max="5" width="19.5546875" style="39" customWidth="1"/>
    <col min="6" max="6" width="5.109375" style="39" customWidth="1"/>
    <col min="7" max="24" width="7.33203125" style="39" customWidth="1"/>
    <col min="25" max="25" width="4.88671875" style="39"/>
    <col min="26" max="26" width="8.44140625" style="39" bestFit="1" customWidth="1"/>
    <col min="27" max="16384" width="4.88671875" style="39"/>
  </cols>
  <sheetData>
    <row r="1" spans="1:25" ht="16.2" hidden="1" customHeight="1" thickTop="1" thickBot="1" x14ac:dyDescent="0.35">
      <c r="A1" s="37" t="str">
        <f ca="1">MID(CELL("filename",A1),FIND("]",CELL("filename",A1))+1,255)</f>
        <v>VISITOR DAYS</v>
      </c>
      <c r="E1" s="53"/>
      <c r="F1" s="54"/>
      <c r="G1" s="54"/>
      <c r="H1" s="54"/>
      <c r="I1" s="54"/>
      <c r="J1" s="54"/>
      <c r="K1" s="54"/>
      <c r="L1" s="54"/>
      <c r="M1" s="54"/>
      <c r="N1" s="54"/>
      <c r="O1" s="54"/>
      <c r="P1" s="54"/>
      <c r="Q1" s="54"/>
      <c r="R1" s="54"/>
      <c r="S1" s="54"/>
      <c r="T1" s="54"/>
      <c r="U1" s="54"/>
      <c r="V1" s="54"/>
      <c r="W1" s="54"/>
      <c r="X1" s="55"/>
    </row>
    <row r="2" spans="1:25" ht="16.2" customHeight="1" thickTop="1" x14ac:dyDescent="0.3">
      <c r="A2" s="618">
        <f ca="1">'VISITOR NUMBERS'!A2</f>
        <v>1000</v>
      </c>
      <c r="B2" s="618"/>
      <c r="C2" s="618"/>
      <c r="D2" s="622"/>
      <c r="E2" s="44"/>
      <c r="F2" s="45"/>
      <c r="G2" s="45"/>
      <c r="H2" s="45"/>
      <c r="I2" s="45"/>
      <c r="J2" s="45"/>
      <c r="K2" s="45"/>
      <c r="L2" s="45"/>
      <c r="M2" s="45"/>
      <c r="N2" s="45"/>
      <c r="O2" s="45"/>
      <c r="P2" s="45"/>
      <c r="Q2" s="45"/>
      <c r="R2" s="45"/>
      <c r="S2" s="45"/>
      <c r="T2" s="45"/>
      <c r="U2" s="45"/>
      <c r="V2" s="45"/>
      <c r="W2" s="45"/>
      <c r="X2" s="46"/>
    </row>
    <row r="3" spans="1:25" ht="26.4" customHeight="1" x14ac:dyDescent="0.3">
      <c r="A3" s="618">
        <f t="array" aca="1" ref="A3" ca="1">IFERROR(AVERAGE(IF(TYPE.no=5,(INDEX(DATA!T:T,MATCH(REP.yearsrange&amp;"."&amp;'VISITOR DAYS'!$A$1&amp;"."&amp;TOTAL,REP.lookup,0))-INDEX(DATA!T:T,MATCH(REP.yearsrange&amp;"."&amp;'VISITOR DAYS'!$A$1&amp;"."&amp;DV,REP.lookup,0))),INDEX(DATA!T:T,MATCH(REP.yearsrange&amp;"."&amp;'VISITOR DAYS'!$A$1&amp;"."&amp;TYPE.userselected,REP.lookup,0)))),0)</f>
        <v>21981.789902206987</v>
      </c>
      <c r="B3" s="618"/>
      <c r="C3" s="618"/>
      <c r="D3" s="622"/>
      <c r="E3" s="47"/>
      <c r="F3" s="43"/>
      <c r="G3" s="43"/>
      <c r="H3" s="43"/>
      <c r="I3" s="43"/>
      <c r="J3" s="43"/>
      <c r="K3" s="43"/>
      <c r="L3" s="43"/>
      <c r="M3" s="43"/>
      <c r="N3" s="43"/>
      <c r="O3" s="43"/>
      <c r="P3" s="43"/>
      <c r="Q3" s="43"/>
      <c r="R3" s="43"/>
      <c r="S3" s="43"/>
      <c r="T3" s="43"/>
      <c r="U3" s="43"/>
      <c r="V3" s="43"/>
      <c r="W3" s="43"/>
      <c r="X3" s="48"/>
    </row>
    <row r="4" spans="1:25" ht="26.4" customHeight="1" x14ac:dyDescent="0.3">
      <c r="A4" s="618">
        <f>IF(($A$5/1000000)&gt;1,1000000,IF(($A$5/1000)&gt;1,1000,1))</f>
        <v>1000</v>
      </c>
      <c r="B4" s="618"/>
      <c r="C4" s="618"/>
      <c r="D4" s="622"/>
      <c r="E4" s="58"/>
      <c r="F4" s="59"/>
      <c r="G4" s="59"/>
      <c r="H4" s="59"/>
      <c r="I4" s="59"/>
      <c r="J4" s="59"/>
      <c r="K4" s="59"/>
      <c r="L4" s="59"/>
      <c r="M4" s="59"/>
      <c r="N4" s="59"/>
      <c r="O4" s="59"/>
      <c r="P4" s="59"/>
      <c r="Q4" s="59"/>
      <c r="R4" s="59"/>
      <c r="S4" s="59"/>
      <c r="T4" s="59"/>
      <c r="U4" s="59"/>
      <c r="V4" s="59"/>
      <c r="W4" s="59"/>
      <c r="X4" s="60"/>
    </row>
    <row r="5" spans="1:25" ht="26.4" customHeight="1" thickBot="1" x14ac:dyDescent="0.35">
      <c r="A5" s="618">
        <f>VLOOKUP(FOCUSYEAR&amp;".Visitor DAYS.TOTAL",REP.data,18,FALSE)</f>
        <v>24180.314237896153</v>
      </c>
      <c r="B5" s="618"/>
      <c r="C5" s="618"/>
      <c r="D5" s="622"/>
      <c r="E5" s="50"/>
      <c r="F5" s="51"/>
      <c r="G5" s="51"/>
      <c r="H5" s="51"/>
      <c r="I5" s="51"/>
      <c r="J5" s="51"/>
      <c r="K5" s="51"/>
      <c r="L5" s="51"/>
      <c r="M5" s="51"/>
      <c r="N5" s="51"/>
      <c r="O5" s="51"/>
      <c r="P5" s="51"/>
      <c r="Q5" s="51"/>
      <c r="R5" s="51"/>
      <c r="S5" s="51"/>
      <c r="T5" s="51"/>
      <c r="U5" s="51"/>
      <c r="V5" s="51"/>
      <c r="W5" s="51"/>
      <c r="X5" s="52"/>
    </row>
    <row r="6" spans="1:25" ht="16.2" customHeight="1" thickTop="1" x14ac:dyDescent="0.3">
      <c r="D6" s="112"/>
      <c r="E6" s="377" t="str">
        <f>REP.title1</f>
        <v>STEAM FINAL TREND REPORT FOR 2011-2022</v>
      </c>
      <c r="F6" s="384"/>
      <c r="G6" s="384"/>
      <c r="H6" s="384"/>
      <c r="I6" s="384"/>
      <c r="J6" s="384"/>
      <c r="K6" s="384"/>
      <c r="L6" s="384"/>
      <c r="M6" s="384"/>
      <c r="N6" s="384"/>
      <c r="O6" s="385"/>
      <c r="P6" s="1036" t="str">
        <f>MIN(REP.yearsrange)&amp;" to "&amp;MAX(REP.yearsrange)</f>
        <v>2011 to 2022</v>
      </c>
      <c r="Q6" s="1037"/>
      <c r="R6" s="1038"/>
      <c r="S6" s="929" t="str">
        <f>UPPER(VISTYPE.short)</f>
        <v>TOTAL</v>
      </c>
      <c r="T6" s="930"/>
      <c r="U6" s="1030" t="str">
        <f ca="1">$A$1</f>
        <v>VISITOR DAYS</v>
      </c>
      <c r="V6" s="1031"/>
      <c r="W6" s="1031"/>
      <c r="X6" s="1032"/>
    </row>
    <row r="7" spans="1:25" ht="16.2" customHeight="1" thickBot="1" x14ac:dyDescent="0.35">
      <c r="D7" s="112"/>
      <c r="E7" s="378" t="str">
        <f>REP.title2</f>
        <v>GWYNEDD COUNCIL</v>
      </c>
      <c r="F7" s="379"/>
      <c r="G7" s="379"/>
      <c r="H7" s="379"/>
      <c r="I7" s="380"/>
      <c r="J7" s="380"/>
      <c r="K7" s="380"/>
      <c r="L7" s="380"/>
      <c r="M7" s="380"/>
      <c r="N7" s="380"/>
      <c r="O7" s="386"/>
      <c r="P7" s="1039"/>
      <c r="Q7" s="1040"/>
      <c r="R7" s="1041"/>
      <c r="S7" s="931"/>
      <c r="T7" s="932"/>
      <c r="U7" s="1033"/>
      <c r="V7" s="1034"/>
      <c r="W7" s="1034"/>
      <c r="X7" s="1035"/>
    </row>
    <row r="8" spans="1:25" ht="16.2" customHeight="1" thickTop="1" thickBot="1" x14ac:dyDescent="0.35">
      <c r="D8" s="112"/>
      <c r="E8" s="867" t="str">
        <f ca="1">$A$1&amp;" BY:"</f>
        <v>VISITOR DAYS BY:</v>
      </c>
      <c r="F8" s="868"/>
      <c r="G8" s="867" t="s">
        <v>132</v>
      </c>
      <c r="H8" s="866"/>
      <c r="I8" s="866"/>
      <c r="J8" s="866"/>
      <c r="K8" s="866"/>
      <c r="L8" s="866"/>
      <c r="M8" s="866"/>
      <c r="N8" s="866"/>
      <c r="O8" s="866"/>
      <c r="P8" s="866"/>
      <c r="Q8" s="866"/>
      <c r="R8" s="866"/>
      <c r="S8" s="983" t="s">
        <v>123</v>
      </c>
      <c r="T8" s="984"/>
      <c r="U8" s="987" t="s">
        <v>124</v>
      </c>
      <c r="V8" s="988"/>
      <c r="W8" s="988"/>
      <c r="X8" s="989"/>
    </row>
    <row r="9" spans="1:25" s="35" customFormat="1" ht="16.2" customHeight="1" thickTop="1" thickBot="1" x14ac:dyDescent="0.35">
      <c r="D9" s="125"/>
      <c r="E9" s="872" t="s">
        <v>90</v>
      </c>
      <c r="F9" s="873"/>
      <c r="G9" s="998" t="str">
        <f>UPPER(TYPE.userselected)</f>
        <v>TOTAL</v>
      </c>
      <c r="H9" s="998"/>
      <c r="I9" s="998"/>
      <c r="J9" s="998"/>
      <c r="K9" s="998"/>
      <c r="L9" s="998"/>
      <c r="M9" s="998"/>
      <c r="N9" s="998"/>
      <c r="O9" s="998"/>
      <c r="P9" s="998"/>
      <c r="Q9" s="998"/>
      <c r="R9" s="999"/>
      <c r="S9" s="985"/>
      <c r="T9" s="986"/>
      <c r="U9" s="990"/>
      <c r="V9" s="991"/>
      <c r="W9" s="991"/>
      <c r="X9" s="992"/>
    </row>
    <row r="10" spans="1:25" s="35" customFormat="1" ht="16.2" customHeight="1" thickTop="1" thickBot="1" x14ac:dyDescent="0.35">
      <c r="D10" s="125"/>
      <c r="E10" s="845" t="str">
        <f>REP.highlightup</f>
        <v>An increase of 3% or more</v>
      </c>
      <c r="F10" s="846"/>
      <c r="G10" s="867" t="str">
        <f ca="1">U6&amp;" IN "&amp;IF($A$2=1,"THOUSANDS",IF($A$2=1000,"MILLIONS","BILLIONS"))&amp;" / PERCENTAGE CHANGES"</f>
        <v>VISITOR DAYS IN MILLIONS / PERCENTAGE CHANGES</v>
      </c>
      <c r="H10" s="866"/>
      <c r="I10" s="866"/>
      <c r="J10" s="866"/>
      <c r="K10" s="866"/>
      <c r="L10" s="866"/>
      <c r="M10" s="866"/>
      <c r="N10" s="866"/>
      <c r="O10" s="866"/>
      <c r="P10" s="866"/>
      <c r="Q10" s="866"/>
      <c r="R10" s="868"/>
      <c r="S10" s="980" t="s">
        <v>38</v>
      </c>
      <c r="T10" s="980" t="s">
        <v>118</v>
      </c>
      <c r="U10" s="990"/>
      <c r="V10" s="991"/>
      <c r="W10" s="991"/>
      <c r="X10" s="992"/>
    </row>
    <row r="11" spans="1:25" s="35" customFormat="1" ht="16.2" customHeight="1" thickTop="1" thickBot="1" x14ac:dyDescent="0.35">
      <c r="D11" s="125"/>
      <c r="E11" s="856" t="str">
        <f>REP.highlightsame</f>
        <v>Less than 3% change</v>
      </c>
      <c r="F11" s="857"/>
      <c r="G11" s="1000" t="s">
        <v>91</v>
      </c>
      <c r="H11" s="1001"/>
      <c r="I11" s="1002"/>
      <c r="J11" s="1003" t="s">
        <v>92</v>
      </c>
      <c r="K11" s="1004"/>
      <c r="L11" s="1005"/>
      <c r="M11" s="1006" t="s">
        <v>93</v>
      </c>
      <c r="N11" s="1007"/>
      <c r="O11" s="1008"/>
      <c r="P11" s="1009" t="s">
        <v>94</v>
      </c>
      <c r="Q11" s="1010"/>
      <c r="R11" s="1011"/>
      <c r="S11" s="981"/>
      <c r="T11" s="981"/>
      <c r="U11" s="993"/>
      <c r="V11" s="994"/>
      <c r="W11" s="994"/>
      <c r="X11" s="995"/>
    </row>
    <row r="12" spans="1:25" ht="16.2" customHeight="1" thickTop="1" thickBot="1" x14ac:dyDescent="0.35">
      <c r="D12" s="112"/>
      <c r="E12" s="837" t="str">
        <f>REP.highlightdown</f>
        <v>A Fall of 3% or more</v>
      </c>
      <c r="F12" s="838"/>
      <c r="G12" s="184" t="s">
        <v>26</v>
      </c>
      <c r="H12" s="184" t="s">
        <v>27</v>
      </c>
      <c r="I12" s="184" t="s">
        <v>28</v>
      </c>
      <c r="J12" s="185" t="s">
        <v>29</v>
      </c>
      <c r="K12" s="185" t="s">
        <v>30</v>
      </c>
      <c r="L12" s="185" t="s">
        <v>31</v>
      </c>
      <c r="M12" s="186" t="s">
        <v>32</v>
      </c>
      <c r="N12" s="186" t="s">
        <v>33</v>
      </c>
      <c r="O12" s="186" t="s">
        <v>34</v>
      </c>
      <c r="P12" s="187" t="s">
        <v>35</v>
      </c>
      <c r="Q12" s="187" t="s">
        <v>36</v>
      </c>
      <c r="R12" s="187" t="s">
        <v>37</v>
      </c>
      <c r="S12" s="982"/>
      <c r="T12" s="982"/>
      <c r="U12" s="188" t="s">
        <v>91</v>
      </c>
      <c r="V12" s="189" t="s">
        <v>92</v>
      </c>
      <c r="W12" s="190" t="s">
        <v>93</v>
      </c>
      <c r="X12" s="191" t="s">
        <v>94</v>
      </c>
    </row>
    <row r="13" spans="1:25" ht="16.2" customHeight="1" thickTop="1" thickBot="1" x14ac:dyDescent="0.35">
      <c r="D13" s="112"/>
      <c r="E13" s="996" t="str">
        <f>"% Change "&amp;MIN(REP.yearsrange)&amp;" to "&amp;MAX(REP.yearsrange)</f>
        <v>% Change 2011 to 2022</v>
      </c>
      <c r="F13" s="996"/>
      <c r="G13" s="135">
        <f ca="1">IFERROR(INDEX(G$16:G$27,MATCH(MAX(REP.yearsrange),$E$16:$E$27,0))/INDEX(G$16:G$27,MATCH(MIN(REP.yearsrange),$E$16:$E$27,0))-1,"")</f>
        <v>0.88999781857592897</v>
      </c>
      <c r="H13" s="135">
        <f ca="1">IFERROR(INDEX(H$16:H$27,MATCH(MAX(REP.yearsrange),$E$16:$E$27,0))/INDEX(H$16:H$27,MATCH(MIN(REP.yearsrange),$E$16:$E$27,0))-1,"")</f>
        <v>0.77670099973109719</v>
      </c>
      <c r="I13" s="135">
        <f ca="1">IFERROR(INDEX(I$16:I$27,MATCH(MAX(REP.yearsrange),$E$16:$E$27,0))/INDEX(I$16:I$27,MATCH(MIN(REP.yearsrange),$E$16:$E$27,0))-1,"")</f>
        <v>2.0920409568042975</v>
      </c>
      <c r="J13" s="135">
        <f ca="1">IFERROR(INDEX(J$16:J$27,MATCH(MAX(REP.yearsrange),$E$16:$E$27,0))/INDEX(J$16:J$27,MATCH(MIN(REP.yearsrange),$E$16:$E$27,0))-1,"")</f>
        <v>-0.18376753123894318</v>
      </c>
      <c r="K13" s="135">
        <f ca="1">IFERROR(INDEX(K$16:K$27,MATCH(MAX(REP.yearsrange),$E$16:$E$27,0))/INDEX(K$16:K$27,MATCH(MIN(REP.yearsrange),$E$16:$E$27,0))-1,"")</f>
        <v>-7.2077668844657383E-2</v>
      </c>
      <c r="L13" s="135">
        <f ca="1">IFERROR(INDEX(L$16:L$27,MATCH(MAX(REP.yearsrange),$E$16:$E$27,0))/INDEX(L$16:L$27,MATCH(MIN(REP.yearsrange),$E$16:$E$27,0))-1,"")</f>
        <v>-7.1870164814165305E-2</v>
      </c>
      <c r="M13" s="135">
        <f ca="1">IFERROR(INDEX(M$16:M$27,MATCH(MAX(REP.yearsrange),$E$16:$E$27,0))/INDEX(M$16:M$27,MATCH(MIN(REP.yearsrange),$E$16:$E$27,0))-1,"")</f>
        <v>-0.10090215893819587</v>
      </c>
      <c r="N13" s="135">
        <f ca="1">IFERROR(INDEX(N$16:N$27,MATCH(MAX(REP.yearsrange),$E$16:$E$27,0))/INDEX(N$16:N$27,MATCH(MIN(REP.yearsrange),$E$16:$E$27,0))-1,"")</f>
        <v>-5.2668077718891704E-2</v>
      </c>
      <c r="O13" s="135">
        <f ca="1">IFERROR(INDEX(O$16:O$27,MATCH(MAX(REP.yearsrange),$E$16:$E$27,0))/INDEX(O$16:O$27,MATCH(MIN(REP.yearsrange),$E$16:$E$27,0))-1,"")</f>
        <v>-3.9108107908027101E-2</v>
      </c>
      <c r="P13" s="135">
        <f ca="1">IFERROR(INDEX(P$16:P$27,MATCH(MAX(REP.yearsrange),$E$16:$E$27,0))/INDEX(P$16:P$27,MATCH(MIN(REP.yearsrange),$E$16:$E$27,0))-1,"")</f>
        <v>0.21951654629912309</v>
      </c>
      <c r="Q13" s="135">
        <f ca="1">IFERROR(INDEX(Q$16:Q$27,MATCH(MAX(REP.yearsrange),$E$16:$E$27,0))/INDEX(Q$16:Q$27,MATCH(MIN(REP.yearsrange),$E$16:$E$27,0))-1,"")</f>
        <v>1.0969226643170624</v>
      </c>
      <c r="R13" s="135">
        <f ca="1">IFERROR(INDEX(R$16:R$27,MATCH(MAX(REP.yearsrange),$E$16:$E$27,0))/INDEX(R$16:R$27,MATCH(MIN(REP.yearsrange),$E$16:$E$27,0))-1,"")</f>
        <v>0.98570721855485632</v>
      </c>
      <c r="S13" s="135">
        <f ca="1">IFERROR(INDEX(S$16:S$27,MATCH(MAX(REP.yearsrange),$E$16:$E$27,0))/INDEX(S$16:S$27,MATCH(MIN(REP.yearsrange),$E$16:$E$27,0))-1,"")</f>
        <v>0.10001571052539404</v>
      </c>
      <c r="T13" s="997" t="str">
        <f>"Annual"&amp;CHAR(10)&amp;"Change"</f>
        <v>Annual
Change</v>
      </c>
      <c r="U13" s="135">
        <f ca="1">IFERROR(INDEX(U$16:U$27,MATCH(MAX(REP.yearsrange),$E$16:$E$27,0))/INDEX(U$16:U$27,MATCH(MIN(REP.yearsrange),$E$16:$E$27,0))-1,"")</f>
        <v>1.3780683031555272</v>
      </c>
      <c r="V13" s="135">
        <f ca="1">IFERROR(INDEX(V$16:V$27,MATCH(MAX(REP.yearsrange),$E$16:$E$27,0))/INDEX(V$16:V$27,MATCH(MIN(REP.yearsrange),$E$16:$E$27,0))-1,"")</f>
        <v>-0.10729849192463192</v>
      </c>
      <c r="W13" s="135">
        <f ca="1">IFERROR(INDEX(W$16:W$27,MATCH(MAX(REP.yearsrange),$E$16:$E$27,0))/INDEX(W$16:W$27,MATCH(MIN(REP.yearsrange),$E$16:$E$27,0))-1,"")</f>
        <v>-6.6563236243399215E-2</v>
      </c>
      <c r="X13" s="135">
        <f ca="1">IFERROR(INDEX(X$16:X$27,MATCH(MAX(REP.yearsrange),$E$16:$E$27,0))/INDEX(X$16:X$27,MATCH(MIN(REP.yearsrange),$E$16:$E$27,0))-1,"")</f>
        <v>0.52313857381248385</v>
      </c>
    </row>
    <row r="14" spans="1:25" ht="16.2" customHeight="1" thickTop="1" thickBot="1" x14ac:dyDescent="0.35">
      <c r="D14" s="112"/>
      <c r="E14" s="996" t="str">
        <f>"% Change "&amp;INDEX(REP.yearsrange,COUNT(REP.yearsrange)-1)&amp;" to "&amp;MAX(REP.yearsrange)</f>
        <v>% Change 2021 to 2022</v>
      </c>
      <c r="F14" s="996"/>
      <c r="G14" s="135" t="str">
        <f ca="1">IFERROR(INDEX(G$16:G$27,MATCH(MAX(REP.yearsrange),$E$16:$E$27,0))/INDEX(G$16:G$27,MATCH(INDEX(REP.yearsrange,COUNT(REP.yearsrange)-1),$E$16:$E$27,0))-1,"")</f>
        <v/>
      </c>
      <c r="H14" s="135" t="str">
        <f ca="1">IFERROR(INDEX(H$16:H$27,MATCH(MAX(REP.yearsrange),$E$16:$E$27,0))/INDEX(H$16:H$27,MATCH(INDEX(REP.yearsrange,COUNT(REP.yearsrange)-1),$E$16:$E$27,0))-1,"")</f>
        <v/>
      </c>
      <c r="I14" s="135">
        <f ca="1">IFERROR(INDEX(I$16:I$27,MATCH(MAX(REP.yearsrange),$E$16:$E$27,0))/INDEX(I$16:I$27,MATCH(INDEX(REP.yearsrange,COUNT(REP.yearsrange)-1),$E$16:$E$27,0))-1,"")</f>
        <v>5.8657601965831727</v>
      </c>
      <c r="J14" s="135">
        <f ca="1">IFERROR(INDEX(J$16:J$27,MATCH(MAX(REP.yearsrange),$E$16:$E$27,0))/INDEX(J$16:J$27,MATCH(INDEX(REP.yearsrange,COUNT(REP.yearsrange)-1),$E$16:$E$27,0))-1,"")</f>
        <v>0.93073818865770885</v>
      </c>
      <c r="K14" s="135">
        <f ca="1">IFERROR(INDEX(K$16:K$27,MATCH(MAX(REP.yearsrange),$E$16:$E$27,0))/INDEX(K$16:K$27,MATCH(INDEX(REP.yearsrange,COUNT(REP.yearsrange)-1),$E$16:$E$27,0))-1,"")</f>
        <v>0.80500264491568818</v>
      </c>
      <c r="L14" s="135">
        <f ca="1">IFERROR(INDEX(L$16:L$27,MATCH(MAX(REP.yearsrange),$E$16:$E$27,0))/INDEX(L$16:L$27,MATCH(INDEX(REP.yearsrange,COUNT(REP.yearsrange)-1),$E$16:$E$27,0))-1,"")</f>
        <v>0.20717446690339858</v>
      </c>
      <c r="M14" s="135">
        <f ca="1">IFERROR(INDEX(M$16:M$27,MATCH(MAX(REP.yearsrange),$E$16:$E$27,0))/INDEX(M$16:M$27,MATCH(INDEX(REP.yearsrange,COUNT(REP.yearsrange)-1),$E$16:$E$27,0))-1,"")</f>
        <v>0.18828317795687544</v>
      </c>
      <c r="N14" s="135">
        <f ca="1">IFERROR(INDEX(N$16:N$27,MATCH(MAX(REP.yearsrange),$E$16:$E$27,0))/INDEX(N$16:N$27,MATCH(INDEX(REP.yearsrange,COUNT(REP.yearsrange)-1),$E$16:$E$27,0))-1,"")</f>
        <v>-6.1172795506339805E-2</v>
      </c>
      <c r="O14" s="135">
        <f ca="1">IFERROR(INDEX(O$16:O$27,MATCH(MAX(REP.yearsrange),$E$16:$E$27,0))/INDEX(O$16:O$27,MATCH(INDEX(REP.yearsrange,COUNT(REP.yearsrange)-1),$E$16:$E$27,0))-1,"")</f>
        <v>-0.21074654091881007</v>
      </c>
      <c r="P14" s="135">
        <f ca="1">IFERROR(INDEX(P$16:P$27,MATCH(MAX(REP.yearsrange),$E$16:$E$27,0))/INDEX(P$16:P$27,MATCH(INDEX(REP.yearsrange,COUNT(REP.yearsrange)-1),$E$16:$E$27,0))-1,"")</f>
        <v>-0.24110650201452277</v>
      </c>
      <c r="Q14" s="135">
        <f ca="1">IFERROR(INDEX(Q$16:Q$27,MATCH(MAX(REP.yearsrange),$E$16:$E$27,0))/INDEX(Q$16:Q$27,MATCH(INDEX(REP.yearsrange,COUNT(REP.yearsrange)-1),$E$16:$E$27,0))-1,"")</f>
        <v>0.43739218346868425</v>
      </c>
      <c r="R14" s="135">
        <f ca="1">IFERROR(INDEX(R$16:R$27,MATCH(MAX(REP.yearsrange),$E$16:$E$27,0))/INDEX(R$16:R$27,MATCH(INDEX(REP.yearsrange,COUNT(REP.yearsrange)-1),$E$16:$E$27,0))-1,"")</f>
        <v>0.10837219524984221</v>
      </c>
      <c r="S14" s="135">
        <f ca="1">IFERROR(INDEX(S$16:S$27,MATCH(MAX(REP.yearsrange),$E$16:$E$27,0))/INDEX(S$16:S$27,MATCH(INDEX(REP.yearsrange,COUNT(REP.yearsrange)-1),$E$16:$E$27,0))-1,"")</f>
        <v>0.30221192987078394</v>
      </c>
      <c r="T14" s="997"/>
      <c r="U14" s="135">
        <f ca="1">IFERROR(INDEX(U$16:U$27,MATCH(MAX(REP.yearsrange),$E$16:$E$27,0))/INDEX(U$16:U$27,MATCH(INDEX(REP.yearsrange,COUNT(REP.yearsrange)-1),$E$16:$E$27,0))-1,"")</f>
        <v>11.141605141208466</v>
      </c>
      <c r="V14" s="135">
        <f ca="1">IFERROR(INDEX(V$16:V$27,MATCH(MAX(REP.yearsrange),$E$16:$E$27,0))/INDEX(V$16:V$27,MATCH(INDEX(REP.yearsrange,COUNT(REP.yearsrange)-1),$E$16:$E$27,0))-1,"")</f>
        <v>0.54574969594076328</v>
      </c>
      <c r="W14" s="135">
        <f ca="1">IFERROR(INDEX(W$16:W$27,MATCH(MAX(REP.yearsrange),$E$16:$E$27,0))/INDEX(W$16:W$27,MATCH(INDEX(REP.yearsrange,COUNT(REP.yearsrange)-1),$E$16:$E$27,0))-1,"")</f>
        <v>-3.8863481579984649E-2</v>
      </c>
      <c r="X14" s="135">
        <f ca="1">IFERROR(INDEX(X$16:X$27,MATCH(MAX(REP.yearsrange),$E$16:$E$27,0))/INDEX(X$16:X$27,MATCH(INDEX(REP.yearsrange,COUNT(REP.yearsrange)-1),$E$16:$E$27,0))-1,"")</f>
        <v>-5.4373661164129228E-2</v>
      </c>
    </row>
    <row r="15" spans="1:25" ht="16.2" customHeight="1" thickTop="1" thickBot="1" x14ac:dyDescent="0.35">
      <c r="D15" s="112"/>
      <c r="E15" s="996" t="s">
        <v>116</v>
      </c>
      <c r="F15" s="996"/>
      <c r="G15" s="135">
        <f ca="1">IFERROR(G13/(MAX(REP.yearsrange)-MIN(REP.yearsrange)),"")</f>
        <v>8.0908892597811727E-2</v>
      </c>
      <c r="H15" s="135">
        <f ca="1">IFERROR(H13/(MAX(REP.yearsrange)-MIN(REP.yearsrange)),"")</f>
        <v>7.0609181793736112E-2</v>
      </c>
      <c r="I15" s="135">
        <f ca="1">IFERROR(I13/(MAX(REP.yearsrange)-MIN(REP.yearsrange)),"")</f>
        <v>0.1901855415276634</v>
      </c>
      <c r="J15" s="135">
        <f ca="1">IFERROR(J13/(MAX(REP.yearsrange)-MIN(REP.yearsrange)),"")</f>
        <v>-1.6706139203540291E-2</v>
      </c>
      <c r="K15" s="135">
        <f ca="1">IFERROR(K13/(MAX(REP.yearsrange)-MIN(REP.yearsrange)),"")</f>
        <v>-6.5525153495143073E-3</v>
      </c>
      <c r="L15" s="135">
        <f ca="1">IFERROR(L13/(MAX(REP.yearsrange)-MIN(REP.yearsrange)),"")</f>
        <v>-6.5336513467423004E-3</v>
      </c>
      <c r="M15" s="135">
        <f ca="1">IFERROR(M13/(MAX(REP.yearsrange)-MIN(REP.yearsrange)),"")</f>
        <v>-9.1729235398359879E-3</v>
      </c>
      <c r="N15" s="135">
        <f ca="1">IFERROR(N13/(MAX(REP.yearsrange)-MIN(REP.yearsrange)),"")</f>
        <v>-4.7880070653537913E-3</v>
      </c>
      <c r="O15" s="135">
        <f ca="1">IFERROR(O13/(MAX(REP.yearsrange)-MIN(REP.yearsrange)),"")</f>
        <v>-3.5552825370933727E-3</v>
      </c>
      <c r="P15" s="135">
        <f ca="1">IFERROR(P13/(MAX(REP.yearsrange)-MIN(REP.yearsrange)),"")</f>
        <v>1.9956049663556644E-2</v>
      </c>
      <c r="Q15" s="135">
        <f ca="1">IFERROR(Q13/(MAX(REP.yearsrange)-MIN(REP.yearsrange)),"")</f>
        <v>9.9720242210642032E-2</v>
      </c>
      <c r="R15" s="135">
        <f ca="1">IFERROR(R13/(MAX(REP.yearsrange)-MIN(REP.yearsrange)),"")</f>
        <v>8.9609747141350574E-2</v>
      </c>
      <c r="S15" s="135">
        <f ca="1">IFERROR(S13/(MAX(REP.yearsrange)-MIN(REP.yearsrange)),"")</f>
        <v>9.0923373204903676E-3</v>
      </c>
      <c r="T15" s="997"/>
      <c r="U15" s="135">
        <f ca="1">IFERROR(U13/(MAX(REP.yearsrange)-MIN(REP.yearsrange)),"")</f>
        <v>0.12527893665050246</v>
      </c>
      <c r="V15" s="135">
        <f ca="1">IFERROR(V13/(MAX(REP.yearsrange)-MIN(REP.yearsrange)),"")</f>
        <v>-9.7544083567847207E-3</v>
      </c>
      <c r="W15" s="135">
        <f ca="1">IFERROR(W13/(MAX(REP.yearsrange)-MIN(REP.yearsrange)),"")</f>
        <v>-6.051203294854474E-3</v>
      </c>
      <c r="X15" s="135">
        <f ca="1">IFERROR(X13/(MAX(REP.yearsrange)-MIN(REP.yearsrange)),"")</f>
        <v>4.7558052164771263E-2</v>
      </c>
    </row>
    <row r="16" spans="1:25" ht="16.2" customHeight="1" thickTop="1" thickBot="1" x14ac:dyDescent="0.35">
      <c r="D16" s="112"/>
      <c r="E16" s="193">
        <f t="array" ref="E16:E27">INDEX(REP.yearsrange,REP.yearnos)</f>
        <v>2011</v>
      </c>
      <c r="F16" s="194" t="str">
        <f ca="1">IF($A$2=1,"000s",IF(A2=1000,"M","Bn"))</f>
        <v>M</v>
      </c>
      <c r="G16" s="589">
        <f t="array" aca="1" ref="G16:G27" ca="1">TD.MONTHLYDATA</f>
        <v>0.43063292681909254</v>
      </c>
      <c r="H16" s="589">
        <f t="array" aca="1" ref="H16:H27" ca="1">TD.MONTHLYDATA</f>
        <v>0.50960849590921231</v>
      </c>
      <c r="I16" s="589">
        <f t="array" aca="1" ref="I16:I27" ca="1">TD.MONTHLYDATA</f>
        <v>0.72361470094873181</v>
      </c>
      <c r="J16" s="590">
        <f t="array" aca="1" ref="J16:J27" ca="1">TD.MONTHLYDATA</f>
        <v>2.5806980162826072</v>
      </c>
      <c r="K16" s="590">
        <f t="array" aca="1" ref="K16:K27" ca="1">TD.MONTHLYDATA</f>
        <v>2.6270352521117166</v>
      </c>
      <c r="L16" s="590">
        <f t="array" aca="1" ref="L16:L27" ca="1">TD.MONTHLYDATA</f>
        <v>2.9585691105078995</v>
      </c>
      <c r="M16" s="591">
        <f t="array" aca="1" ref="M16:M27" ca="1">TD.MONTHLYDATA</f>
        <v>3.3972136176312433</v>
      </c>
      <c r="N16" s="591">
        <f t="array" aca="1" ref="N16:N27" ca="1">TD.MONTHLYDATA</f>
        <v>3.6606071878396103</v>
      </c>
      <c r="O16" s="591">
        <f t="array" aca="1" ref="O16:O27" ca="1">TD.MONTHLYDATA</f>
        <v>2.3963442391854586</v>
      </c>
      <c r="P16" s="592">
        <f t="array" aca="1" ref="P16:P27" ca="1">TD.MONTHLYDATA</f>
        <v>1.7041071274328083</v>
      </c>
      <c r="Q16" s="592">
        <f t="array" aca="1" ref="Q16:Q27" ca="1">TD.MONTHLYDATA</f>
        <v>0.52067974110421955</v>
      </c>
      <c r="R16" s="592">
        <f t="array" aca="1" ref="R16:R27" ca="1">TD.MONTHLYDATA</f>
        <v>0.47267948643438623</v>
      </c>
      <c r="S16" s="593">
        <f t="array" aca="1" ref="S16:S27" ca="1">TD.MONTHLYDATA</f>
        <v>21.981789902206987</v>
      </c>
      <c r="T16" s="997"/>
      <c r="U16" s="589">
        <f ca="1">IF(SUM(G16:I16)=0,"",SUM(G16:I16))</f>
        <v>1.6638561236770366</v>
      </c>
      <c r="V16" s="590">
        <f ca="1">IF(SUM(J16:L16)=0,"",SUM(J16:L16))</f>
        <v>8.1663023789022233</v>
      </c>
      <c r="W16" s="591">
        <f ca="1">IF(SUM(M16:O16)=0,"",SUM(M16:O16))</f>
        <v>9.4541650446563121</v>
      </c>
      <c r="X16" s="592">
        <f ca="1">IF(SUM(P16:R16)=0,"",SUM(P16:R16))</f>
        <v>2.6974663549714144</v>
      </c>
      <c r="Y16" s="73"/>
    </row>
    <row r="17" spans="4:24" ht="16.2" customHeight="1" thickTop="1" thickBot="1" x14ac:dyDescent="0.35">
      <c r="D17" s="112"/>
      <c r="E17" s="193">
        <v>2012</v>
      </c>
      <c r="F17" s="194" t="str">
        <f ca="1">$F$16</f>
        <v>M</v>
      </c>
      <c r="G17" s="589">
        <f ca="1"/>
        <v>0.40160986541272675</v>
      </c>
      <c r="H17" s="589">
        <f ca="1"/>
        <v>0.43559928598146047</v>
      </c>
      <c r="I17" s="589">
        <f ca="1"/>
        <v>0.7593898255195447</v>
      </c>
      <c r="J17" s="590">
        <f ca="1"/>
        <v>2.0420646645788731</v>
      </c>
      <c r="K17" s="590">
        <f ca="1"/>
        <v>2.0748840932598651</v>
      </c>
      <c r="L17" s="590">
        <f ca="1"/>
        <v>2.7448336427992603</v>
      </c>
      <c r="M17" s="591">
        <f ca="1"/>
        <v>2.9839732814224713</v>
      </c>
      <c r="N17" s="591">
        <f ca="1"/>
        <v>3.4144314675974154</v>
      </c>
      <c r="O17" s="591">
        <f ca="1"/>
        <v>2.1832639360831001</v>
      </c>
      <c r="P17" s="592">
        <f ca="1"/>
        <v>1.8532404723421976</v>
      </c>
      <c r="Q17" s="592">
        <f ca="1"/>
        <v>0.47868848013617415</v>
      </c>
      <c r="R17" s="592">
        <f ca="1"/>
        <v>0.43885433305053939</v>
      </c>
      <c r="S17" s="593">
        <f ca="1"/>
        <v>19.810833348183625</v>
      </c>
      <c r="T17" s="195">
        <f ca="1">IFERROR(IF(S17&lt;&gt;0,S17/S16-1,""),"")</f>
        <v>-9.8761591466461796E-2</v>
      </c>
      <c r="U17" s="589">
        <f t="shared" ref="U17:U27" ca="1" si="0">IF(SUM(G17:I17)=0,"",SUM(G17:I17))</f>
        <v>1.5965989769137319</v>
      </c>
      <c r="V17" s="590">
        <f t="shared" ref="V17:V27" ca="1" si="1">IF(SUM(J17:L17)=0,"",SUM(J17:L17))</f>
        <v>6.861782400637999</v>
      </c>
      <c r="W17" s="591">
        <f t="shared" ref="W17:W27" ca="1" si="2">IF(SUM(M17:O17)=0,"",SUM(M17:O17))</f>
        <v>8.5816686851029864</v>
      </c>
      <c r="X17" s="592">
        <f t="shared" ref="X17:X27" ca="1" si="3">IF(SUM(P17:R17)=0,"",SUM(P17:R17))</f>
        <v>2.770783285528911</v>
      </c>
    </row>
    <row r="18" spans="4:24" ht="16.2" customHeight="1" thickTop="1" thickBot="1" x14ac:dyDescent="0.35">
      <c r="D18" s="112"/>
      <c r="E18" s="193">
        <v>2013</v>
      </c>
      <c r="F18" s="194" t="str">
        <f t="shared" ref="F18:F27" ca="1" si="4">$F$16</f>
        <v>M</v>
      </c>
      <c r="G18" s="589">
        <f ca="1"/>
        <v>0.49808749500270044</v>
      </c>
      <c r="H18" s="589">
        <f ca="1"/>
        <v>0.56129246135436672</v>
      </c>
      <c r="I18" s="589">
        <f ca="1"/>
        <v>1.5029378358393357</v>
      </c>
      <c r="J18" s="590">
        <f ca="1"/>
        <v>1.9551489377124893</v>
      </c>
      <c r="K18" s="590">
        <f ca="1"/>
        <v>2.1891546766263641</v>
      </c>
      <c r="L18" s="590">
        <f ca="1"/>
        <v>2.5196043717756895</v>
      </c>
      <c r="M18" s="591">
        <f ca="1"/>
        <v>3.0176509841153139</v>
      </c>
      <c r="N18" s="591">
        <f ca="1"/>
        <v>3.4079074205274229</v>
      </c>
      <c r="O18" s="591">
        <f ca="1"/>
        <v>2.0902687852154336</v>
      </c>
      <c r="P18" s="592">
        <f ca="1"/>
        <v>1.7154951303648482</v>
      </c>
      <c r="Q18" s="592">
        <f ca="1"/>
        <v>0.75350498663377341</v>
      </c>
      <c r="R18" s="592">
        <f ca="1"/>
        <v>0.6230217957991907</v>
      </c>
      <c r="S18" s="593">
        <f ca="1"/>
        <v>20.834074880966927</v>
      </c>
      <c r="T18" s="195">
        <f t="shared" ref="T18:T27" ca="1" si="5">IFERROR(IF(S18&lt;&gt;0,S18/S17-1,""),"")</f>
        <v>5.1650605242061554E-2</v>
      </c>
      <c r="U18" s="589">
        <f t="shared" ca="1" si="0"/>
        <v>2.5623177921964029</v>
      </c>
      <c r="V18" s="590">
        <f t="shared" ca="1" si="1"/>
        <v>6.6639079861145429</v>
      </c>
      <c r="W18" s="591">
        <f t="shared" ca="1" si="2"/>
        <v>8.5158271898581699</v>
      </c>
      <c r="X18" s="592">
        <f t="shared" ca="1" si="3"/>
        <v>3.0920219127978124</v>
      </c>
    </row>
    <row r="19" spans="4:24" ht="16.2" customHeight="1" thickTop="1" thickBot="1" x14ac:dyDescent="0.35">
      <c r="D19" s="112"/>
      <c r="E19" s="193">
        <v>2014</v>
      </c>
      <c r="F19" s="194" t="str">
        <f t="shared" ca="1" si="4"/>
        <v>M</v>
      </c>
      <c r="G19" s="589">
        <f ca="1"/>
        <v>0.49332570069836151</v>
      </c>
      <c r="H19" s="589">
        <f ca="1"/>
        <v>0.66463119994164865</v>
      </c>
      <c r="I19" s="589">
        <f ca="1"/>
        <v>1.770371164725093</v>
      </c>
      <c r="J19" s="590">
        <f ca="1"/>
        <v>2.042111003285128</v>
      </c>
      <c r="K19" s="590">
        <f ca="1"/>
        <v>2.2775249446648669</v>
      </c>
      <c r="L19" s="590">
        <f ca="1"/>
        <v>2.4943442506655016</v>
      </c>
      <c r="M19" s="591">
        <f ca="1"/>
        <v>3.0840710277645149</v>
      </c>
      <c r="N19" s="591">
        <f ca="1"/>
        <v>3.4904263042894383</v>
      </c>
      <c r="O19" s="591">
        <f ca="1"/>
        <v>2.138396425802092</v>
      </c>
      <c r="P19" s="592">
        <f ca="1"/>
        <v>1.7007837677361626</v>
      </c>
      <c r="Q19" s="592">
        <f ca="1"/>
        <v>0.70771802476140999</v>
      </c>
      <c r="R19" s="592">
        <f ca="1"/>
        <v>0.71019040865859362</v>
      </c>
      <c r="S19" s="593">
        <f ca="1"/>
        <v>21.573894222992809</v>
      </c>
      <c r="T19" s="195">
        <f t="shared" ca="1" si="5"/>
        <v>3.5510064461837354E-2</v>
      </c>
      <c r="U19" s="589">
        <f t="shared" ca="1" si="0"/>
        <v>2.9283280653651031</v>
      </c>
      <c r="V19" s="590">
        <f t="shared" ca="1" si="1"/>
        <v>6.8139801986154964</v>
      </c>
      <c r="W19" s="591">
        <f t="shared" ca="1" si="2"/>
        <v>8.7128937578560457</v>
      </c>
      <c r="X19" s="592">
        <f t="shared" ca="1" si="3"/>
        <v>3.1186922011561662</v>
      </c>
    </row>
    <row r="20" spans="4:24" ht="16.2" customHeight="1" thickTop="1" thickBot="1" x14ac:dyDescent="0.35">
      <c r="D20" s="112"/>
      <c r="E20" s="193">
        <v>2015</v>
      </c>
      <c r="F20" s="194" t="str">
        <f t="shared" ca="1" si="4"/>
        <v>M</v>
      </c>
      <c r="G20" s="589">
        <f ca="1"/>
        <v>0.46489037009459605</v>
      </c>
      <c r="H20" s="589">
        <f ca="1"/>
        <v>0.62626526193631127</v>
      </c>
      <c r="I20" s="589">
        <f ca="1"/>
        <v>1.7760053130462907</v>
      </c>
      <c r="J20" s="590">
        <f ca="1"/>
        <v>1.8558040737556138</v>
      </c>
      <c r="K20" s="590">
        <f ca="1"/>
        <v>2.1887205735785664</v>
      </c>
      <c r="L20" s="590">
        <f ca="1"/>
        <v>2.3769192776340806</v>
      </c>
      <c r="M20" s="591">
        <f ca="1"/>
        <v>3.1229329491917182</v>
      </c>
      <c r="N20" s="591">
        <f ca="1"/>
        <v>3.5493669033124258</v>
      </c>
      <c r="O20" s="591">
        <f ca="1"/>
        <v>1.9096098001613573</v>
      </c>
      <c r="P20" s="592">
        <f ca="1"/>
        <v>1.7128493717394717</v>
      </c>
      <c r="Q20" s="592">
        <f ca="1"/>
        <v>0.91922327228289846</v>
      </c>
      <c r="R20" s="592">
        <f ca="1"/>
        <v>0.68740272885449483</v>
      </c>
      <c r="S20" s="593">
        <f ca="1"/>
        <v>21.189989895587825</v>
      </c>
      <c r="T20" s="195">
        <f t="shared" ca="1" si="5"/>
        <v>-1.7794855367179396E-2</v>
      </c>
      <c r="U20" s="589">
        <f t="shared" ca="1" si="0"/>
        <v>2.867160945077198</v>
      </c>
      <c r="V20" s="590">
        <f t="shared" ca="1" si="1"/>
        <v>6.4214439249682602</v>
      </c>
      <c r="W20" s="591">
        <f t="shared" ca="1" si="2"/>
        <v>8.5819096526655017</v>
      </c>
      <c r="X20" s="592">
        <f t="shared" ca="1" si="3"/>
        <v>3.3194753728768651</v>
      </c>
    </row>
    <row r="21" spans="4:24" ht="16.2" customHeight="1" thickTop="1" thickBot="1" x14ac:dyDescent="0.35">
      <c r="D21" s="112"/>
      <c r="E21" s="193">
        <v>2016</v>
      </c>
      <c r="F21" s="194" t="str">
        <f t="shared" ca="1" si="4"/>
        <v>M</v>
      </c>
      <c r="G21" s="589">
        <f ca="1"/>
        <v>0.48411873632961505</v>
      </c>
      <c r="H21" s="589">
        <f ca="1"/>
        <v>0.66579564562694094</v>
      </c>
      <c r="I21" s="589">
        <f ca="1"/>
        <v>2.2126656460465743</v>
      </c>
      <c r="J21" s="590">
        <f ca="1"/>
        <v>1.7407300992343562</v>
      </c>
      <c r="K21" s="590">
        <f ca="1"/>
        <v>2.0268089253838748</v>
      </c>
      <c r="L21" s="590">
        <f ca="1"/>
        <v>2.3946918790151042</v>
      </c>
      <c r="M21" s="591">
        <f ca="1"/>
        <v>2.9215277257040722</v>
      </c>
      <c r="N21" s="591">
        <f ca="1"/>
        <v>3.4117808704573718</v>
      </c>
      <c r="O21" s="591">
        <f ca="1"/>
        <v>2.0984230649882805</v>
      </c>
      <c r="P21" s="592">
        <f ca="1"/>
        <v>1.8129138612856304</v>
      </c>
      <c r="Q21" s="592">
        <f ca="1"/>
        <v>1.096098530720351</v>
      </c>
      <c r="R21" s="592">
        <f ca="1"/>
        <v>0.87781673539216987</v>
      </c>
      <c r="S21" s="593">
        <f ca="1"/>
        <v>21.743371720184342</v>
      </c>
      <c r="T21" s="195">
        <f t="shared" ca="1" si="5"/>
        <v>2.6115247214522741E-2</v>
      </c>
      <c r="U21" s="589">
        <f t="shared" ca="1" si="0"/>
        <v>3.3625800280031304</v>
      </c>
      <c r="V21" s="590">
        <f t="shared" ca="1" si="1"/>
        <v>6.1622309036333354</v>
      </c>
      <c r="W21" s="591">
        <f t="shared" ca="1" si="2"/>
        <v>8.4317316611497244</v>
      </c>
      <c r="X21" s="592">
        <f t="shared" ca="1" si="3"/>
        <v>3.7868291273981511</v>
      </c>
    </row>
    <row r="22" spans="4:24" ht="16.2" customHeight="1" thickTop="1" thickBot="1" x14ac:dyDescent="0.35">
      <c r="D22" s="112"/>
      <c r="E22" s="193">
        <v>2017</v>
      </c>
      <c r="F22" s="194" t="str">
        <f t="shared" ca="1" si="4"/>
        <v>M</v>
      </c>
      <c r="G22" s="589">
        <f ca="1"/>
        <v>0.58389014287878249</v>
      </c>
      <c r="H22" s="589">
        <f ca="1"/>
        <v>0.77709903816178738</v>
      </c>
      <c r="I22" s="589">
        <f ca="1"/>
        <v>1.9793149997998172</v>
      </c>
      <c r="J22" s="590">
        <f ca="1"/>
        <v>2.0828918411354831</v>
      </c>
      <c r="K22" s="590">
        <f ca="1"/>
        <v>2.1205251408270578</v>
      </c>
      <c r="L22" s="590">
        <f ca="1"/>
        <v>2.618819367559996</v>
      </c>
      <c r="M22" s="591">
        <f ca="1"/>
        <v>2.8971507565226129</v>
      </c>
      <c r="N22" s="591">
        <f ca="1"/>
        <v>3.4304643659858343</v>
      </c>
      <c r="O22" s="591">
        <f ca="1"/>
        <v>2.1482658254481626</v>
      </c>
      <c r="P22" s="592">
        <f ca="1"/>
        <v>1.8422199177475185</v>
      </c>
      <c r="Q22" s="592">
        <f ca="1"/>
        <v>1.0982585818620756</v>
      </c>
      <c r="R22" s="592">
        <f ca="1"/>
        <v>0.88685892125350618</v>
      </c>
      <c r="S22" s="593">
        <f ca="1"/>
        <v>22.465758899182635</v>
      </c>
      <c r="T22" s="195">
        <f t="shared" ca="1" si="5"/>
        <v>3.3223328391507101E-2</v>
      </c>
      <c r="U22" s="589">
        <f t="shared" ca="1" si="0"/>
        <v>3.3403041808403868</v>
      </c>
      <c r="V22" s="590">
        <f t="shared" ca="1" si="1"/>
        <v>6.8222363495225364</v>
      </c>
      <c r="W22" s="591">
        <f t="shared" ca="1" si="2"/>
        <v>8.4758809479566111</v>
      </c>
      <c r="X22" s="592">
        <f t="shared" ca="1" si="3"/>
        <v>3.8273374208631004</v>
      </c>
    </row>
    <row r="23" spans="4:24" ht="16.2" customHeight="1" thickTop="1" thickBot="1" x14ac:dyDescent="0.35">
      <c r="D23" s="112"/>
      <c r="E23" s="193">
        <v>2018</v>
      </c>
      <c r="F23" s="194" t="str">
        <f t="shared" ca="1" si="4"/>
        <v>M</v>
      </c>
      <c r="G23" s="589">
        <f ca="1"/>
        <v>0.63475313907398934</v>
      </c>
      <c r="H23" s="589">
        <f ca="1"/>
        <v>0.74345563384061142</v>
      </c>
      <c r="I23" s="589">
        <f ca="1"/>
        <v>2.0315334692553471</v>
      </c>
      <c r="J23" s="590">
        <f ca="1"/>
        <v>1.954951733909164</v>
      </c>
      <c r="K23" s="590">
        <f ca="1"/>
        <v>2.3620349910862553</v>
      </c>
      <c r="L23" s="590">
        <f ca="1"/>
        <v>2.7942128861616156</v>
      </c>
      <c r="M23" s="591">
        <f ca="1"/>
        <v>3.0181933083269836</v>
      </c>
      <c r="N23" s="591">
        <f ca="1"/>
        <v>3.5264436384792632</v>
      </c>
      <c r="O23" s="591">
        <f ca="1"/>
        <v>2.2412350553197693</v>
      </c>
      <c r="P23" s="592">
        <f ca="1"/>
        <v>1.9510551373988547</v>
      </c>
      <c r="Q23" s="592">
        <f ca="1"/>
        <v>1.0116664308439463</v>
      </c>
      <c r="R23" s="592">
        <f ca="1"/>
        <v>0.67977744915583138</v>
      </c>
      <c r="S23" s="593">
        <f ca="1"/>
        <v>22.949312872851628</v>
      </c>
      <c r="T23" s="195">
        <f t="shared" ca="1" si="5"/>
        <v>2.1524043582902719E-2</v>
      </c>
      <c r="U23" s="589">
        <f t="shared" ca="1" si="0"/>
        <v>3.4097422421699477</v>
      </c>
      <c r="V23" s="590">
        <f t="shared" ca="1" si="1"/>
        <v>7.1111996111570352</v>
      </c>
      <c r="W23" s="591">
        <f t="shared" ca="1" si="2"/>
        <v>8.7858720021260162</v>
      </c>
      <c r="X23" s="592">
        <f t="shared" ca="1" si="3"/>
        <v>3.6424990173986322</v>
      </c>
    </row>
    <row r="24" spans="4:24" ht="16.2" customHeight="1" thickTop="1" thickBot="1" x14ac:dyDescent="0.35">
      <c r="D24" s="112"/>
      <c r="E24" s="193">
        <v>2019</v>
      </c>
      <c r="F24" s="194" t="str">
        <f t="shared" ca="1" si="4"/>
        <v>M</v>
      </c>
      <c r="G24" s="589">
        <f ca="1"/>
        <v>0.70922691111032099</v>
      </c>
      <c r="H24" s="589">
        <f ca="1"/>
        <v>0.81018084840368076</v>
      </c>
      <c r="I24" s="589">
        <f ca="1"/>
        <v>2.1213169098531419</v>
      </c>
      <c r="J24" s="590">
        <f ca="1"/>
        <v>2.1689912623179781</v>
      </c>
      <c r="K24" s="590">
        <f ca="1"/>
        <v>2.533486333568161</v>
      </c>
      <c r="L24" s="590">
        <f ca="1"/>
        <v>2.7262197352308366</v>
      </c>
      <c r="M24" s="591">
        <f ca="1"/>
        <v>3.0237390806622835</v>
      </c>
      <c r="N24" s="591">
        <f ca="1"/>
        <v>3.5173956434249374</v>
      </c>
      <c r="O24" s="591">
        <f ca="1"/>
        <v>2.3286066492702608</v>
      </c>
      <c r="P24" s="592">
        <f ca="1"/>
        <v>2.0265187289762063</v>
      </c>
      <c r="Q24" s="592">
        <f ca="1"/>
        <v>1.0229310504657279</v>
      </c>
      <c r="R24" s="592">
        <f ca="1"/>
        <v>0.94348056117595924</v>
      </c>
      <c r="S24" s="593">
        <f ca="1"/>
        <v>23.932093714459494</v>
      </c>
      <c r="T24" s="195">
        <f t="shared" ca="1" si="5"/>
        <v>4.2823976781041884E-2</v>
      </c>
      <c r="U24" s="589">
        <f t="shared" ca="1" si="0"/>
        <v>3.6407246693671436</v>
      </c>
      <c r="V24" s="590">
        <f t="shared" ca="1" si="1"/>
        <v>7.4286973311169753</v>
      </c>
      <c r="W24" s="591">
        <f t="shared" ca="1" si="2"/>
        <v>8.8697413733574813</v>
      </c>
      <c r="X24" s="592">
        <f t="shared" ca="1" si="3"/>
        <v>3.9929303406178933</v>
      </c>
    </row>
    <row r="25" spans="4:24" ht="16.2" customHeight="1" thickTop="1" thickBot="1" x14ac:dyDescent="0.35">
      <c r="D25" s="112"/>
      <c r="E25" s="193">
        <v>2020</v>
      </c>
      <c r="F25" s="194" t="str">
        <f t="shared" ca="1" si="4"/>
        <v>M</v>
      </c>
      <c r="G25" s="589">
        <f ca="1"/>
        <v>0.59585300873544633</v>
      </c>
      <c r="H25" s="589">
        <f ca="1"/>
        <v>0.66694585262006101</v>
      </c>
      <c r="I25" s="589">
        <f ca="1"/>
        <v>1.3915088703602623</v>
      </c>
      <c r="J25" s="590">
        <f ca="1"/>
        <v>3.3989533799129223E-2</v>
      </c>
      <c r="K25" s="590">
        <f ca="1"/>
        <v>3.9675072207145383E-2</v>
      </c>
      <c r="L25" s="590">
        <f ca="1"/>
        <v>4.952635903489977E-2</v>
      </c>
      <c r="M25" s="591">
        <f ca="1"/>
        <v>0.9318267324963424</v>
      </c>
      <c r="N25" s="591">
        <f ca="1"/>
        <v>2.6677207033768138</v>
      </c>
      <c r="O25" s="591">
        <f ca="1"/>
        <v>2.167866876904406</v>
      </c>
      <c r="P25" s="592">
        <f ca="1"/>
        <v>0.97998967513388313</v>
      </c>
      <c r="Q25" s="592">
        <f ca="1"/>
        <v>0.24310414769210711</v>
      </c>
      <c r="R25" s="592">
        <f ca="1"/>
        <v>0.13536531744313668</v>
      </c>
      <c r="S25" s="593">
        <f ca="1"/>
        <v>9.9033721498036336</v>
      </c>
      <c r="T25" s="195">
        <f t="shared" ca="1" si="5"/>
        <v>-0.58618864408757809</v>
      </c>
      <c r="U25" s="589">
        <f t="shared" ca="1" si="0"/>
        <v>2.6543077317157699</v>
      </c>
      <c r="V25" s="590">
        <f t="shared" ca="1" si="1"/>
        <v>0.12319096504117438</v>
      </c>
      <c r="W25" s="591">
        <f t="shared" ca="1" si="2"/>
        <v>5.7674143127775626</v>
      </c>
      <c r="X25" s="592">
        <f t="shared" ca="1" si="3"/>
        <v>1.3584591402691268</v>
      </c>
    </row>
    <row r="26" spans="4:24" ht="16.2" customHeight="1" thickTop="1" thickBot="1" x14ac:dyDescent="0.35">
      <c r="D26" s="112"/>
      <c r="E26" s="193">
        <v>2021</v>
      </c>
      <c r="F26" s="194" t="str">
        <f t="shared" ca="1" si="4"/>
        <v>M</v>
      </c>
      <c r="G26" s="589">
        <f ca="1"/>
        <v>0</v>
      </c>
      <c r="H26" s="589">
        <f ca="1"/>
        <v>0</v>
      </c>
      <c r="I26" s="589">
        <f ca="1"/>
        <v>0.32588471315859008</v>
      </c>
      <c r="J26" s="590">
        <f ca="1"/>
        <v>1.0910073283532886</v>
      </c>
      <c r="K26" s="590">
        <f ca="1"/>
        <v>1.3505158466294833</v>
      </c>
      <c r="L26" s="590">
        <f ca="1"/>
        <v>2.2746805339292648</v>
      </c>
      <c r="M26" s="591">
        <f ca="1"/>
        <v>2.5704541525949818</v>
      </c>
      <c r="N26" s="591">
        <f ca="1"/>
        <v>3.6937681688106196</v>
      </c>
      <c r="O26" s="591">
        <f ca="1"/>
        <v>2.9174756519600442</v>
      </c>
      <c r="P26" s="592">
        <f ca="1"/>
        <v>2.7384433310961742</v>
      </c>
      <c r="Q26" s="592">
        <f ca="1"/>
        <v>0.75958751030453575</v>
      </c>
      <c r="R26" s="592">
        <f ca="1"/>
        <v>0.84683021849351703</v>
      </c>
      <c r="S26" s="593">
        <f ca="1"/>
        <v>18.568647455330499</v>
      </c>
      <c r="T26" s="195">
        <f t="shared" ca="1" si="5"/>
        <v>0.87498229637858072</v>
      </c>
      <c r="U26" s="589">
        <f t="shared" ca="1" si="0"/>
        <v>0.32588471315859008</v>
      </c>
      <c r="V26" s="590">
        <f t="shared" ca="1" si="1"/>
        <v>4.7162037089120368</v>
      </c>
      <c r="W26" s="591">
        <f t="shared" ca="1" si="2"/>
        <v>9.1816979733656456</v>
      </c>
      <c r="X26" s="592">
        <f t="shared" ca="1" si="3"/>
        <v>4.3448610598942272</v>
      </c>
    </row>
    <row r="27" spans="4:24" ht="16.2" customHeight="1" thickTop="1" thickBot="1" x14ac:dyDescent="0.35">
      <c r="D27" s="112"/>
      <c r="E27" s="193">
        <v>2022</v>
      </c>
      <c r="F27" s="194" t="str">
        <f t="shared" ca="1" si="4"/>
        <v>M</v>
      </c>
      <c r="G27" s="589">
        <f ca="1"/>
        <v>0.81389529229505253</v>
      </c>
      <c r="H27" s="589">
        <f ca="1"/>
        <v>0.90542192415335832</v>
      </c>
      <c r="I27" s="589">
        <f ca="1"/>
        <v>2.2374462922791722</v>
      </c>
      <c r="J27" s="590">
        <f ca="1"/>
        <v>2.1064495129571146</v>
      </c>
      <c r="K27" s="590">
        <f ca="1"/>
        <v>2.4376846751667673</v>
      </c>
      <c r="L27" s="590">
        <f ca="1"/>
        <v>2.7459362609215985</v>
      </c>
      <c r="M27" s="591">
        <f ca="1"/>
        <v>3.0544274292380122</v>
      </c>
      <c r="N27" s="591">
        <f ca="1"/>
        <v>3.4678100439721402</v>
      </c>
      <c r="O27" s="591">
        <f ca="1"/>
        <v>2.3026277500946146</v>
      </c>
      <c r="P27" s="592">
        <f ca="1"/>
        <v>2.078186838570578</v>
      </c>
      <c r="Q27" s="592">
        <f ca="1"/>
        <v>1.0918251499721783</v>
      </c>
      <c r="R27" s="592">
        <f ca="1"/>
        <v>0.93860306827556306</v>
      </c>
      <c r="S27" s="593">
        <f ca="1"/>
        <v>24.180314237896152</v>
      </c>
      <c r="T27" s="195">
        <f t="shared" ca="1" si="5"/>
        <v>0.30221192987078394</v>
      </c>
      <c r="U27" s="589">
        <f t="shared" ca="1" si="0"/>
        <v>3.9567635087275832</v>
      </c>
      <c r="V27" s="590">
        <f t="shared" ca="1" si="1"/>
        <v>7.2900704490454808</v>
      </c>
      <c r="W27" s="591">
        <f t="shared" ca="1" si="2"/>
        <v>8.8248652233047675</v>
      </c>
      <c r="X27" s="592">
        <f t="shared" ca="1" si="3"/>
        <v>4.1086150568183193</v>
      </c>
    </row>
    <row r="28" spans="4:24" ht="16.2" customHeight="1" thickTop="1" thickBot="1" x14ac:dyDescent="0.35">
      <c r="D28" s="112"/>
      <c r="E28" s="867" t="str">
        <f ca="1">$A$1</f>
        <v>VISITOR DAYS</v>
      </c>
      <c r="F28" s="866"/>
      <c r="G28" s="866"/>
      <c r="H28" s="866"/>
      <c r="I28" s="866"/>
      <c r="J28" s="866"/>
      <c r="K28" s="866"/>
      <c r="L28" s="866"/>
      <c r="M28" s="866"/>
      <c r="N28" s="866"/>
      <c r="O28" s="866"/>
      <c r="P28" s="866"/>
      <c r="Q28" s="866"/>
      <c r="R28" s="866"/>
      <c r="S28" s="867" t="str">
        <f>UPPER(TYPE.userselected)</f>
        <v>TOTAL</v>
      </c>
      <c r="T28" s="866"/>
      <c r="U28" s="866"/>
      <c r="V28" s="866"/>
      <c r="W28" s="866"/>
      <c r="X28" s="868"/>
    </row>
    <row r="29" spans="4:24" ht="16.2" customHeight="1" thickTop="1" thickBot="1" x14ac:dyDescent="0.35">
      <c r="D29" s="196" t="str">
        <f t="shared" ref="D29:D35" ca="1" si="6">"'"&amp;$A$1&amp;"'!"&amp;CELL("address",G29)&amp;":"&amp;CELL("address",OFFSET(G29,0,YEARSINREP-1))</f>
        <v>'VISITOR DAYS'!$G$29:$R$29</v>
      </c>
      <c r="E29" s="956" t="s">
        <v>120</v>
      </c>
      <c r="F29" s="957"/>
      <c r="G29" s="197">
        <f t="array" ref="G29:R29">TRANSPOSE(REP.yearsrange)</f>
        <v>2011</v>
      </c>
      <c r="H29" s="197">
        <v>2012</v>
      </c>
      <c r="I29" s="198">
        <v>2013</v>
      </c>
      <c r="J29" s="198">
        <v>2014</v>
      </c>
      <c r="K29" s="198">
        <v>2015</v>
      </c>
      <c r="L29" s="198">
        <v>2016</v>
      </c>
      <c r="M29" s="198">
        <v>2017</v>
      </c>
      <c r="N29" s="198">
        <v>2018</v>
      </c>
      <c r="O29" s="198">
        <v>2019</v>
      </c>
      <c r="P29" s="198">
        <v>2020</v>
      </c>
      <c r="Q29" s="198">
        <v>2021</v>
      </c>
      <c r="R29" s="198">
        <v>2022</v>
      </c>
      <c r="S29" s="198"/>
      <c r="T29" s="199"/>
      <c r="U29" s="199"/>
      <c r="V29" s="199"/>
      <c r="W29" s="199"/>
      <c r="X29" s="199"/>
    </row>
    <row r="30" spans="4:24" ht="16.2" customHeight="1" thickTop="1" thickBot="1" x14ac:dyDescent="0.35">
      <c r="D30" s="196" t="str">
        <f t="shared" ca="1" si="6"/>
        <v>'VISITOR DAYS'!$G$30:$R$30</v>
      </c>
      <c r="E30" s="200" t="str">
        <f>IF(TYPE.userselected="SFR",TYPE.userselected,PROPER(VISTYPE.short))</f>
        <v>Total</v>
      </c>
      <c r="F30" s="194" t="str">
        <f ca="1">$F$16</f>
        <v>M</v>
      </c>
      <c r="G30" s="587">
        <f t="array" ref="G30:R30" ca="1">TD.SHARE_VT_ANN</f>
        <v>21.981789902206987</v>
      </c>
      <c r="H30" s="587">
        <f ca="1"/>
        <v>19.810833348183625</v>
      </c>
      <c r="I30" s="587">
        <f ca="1"/>
        <v>20.834074880966927</v>
      </c>
      <c r="J30" s="587">
        <f ca="1"/>
        <v>21.573894222992809</v>
      </c>
      <c r="K30" s="587">
        <f ca="1"/>
        <v>21.189989895587825</v>
      </c>
      <c r="L30" s="587">
        <f ca="1"/>
        <v>21.743371720184342</v>
      </c>
      <c r="M30" s="587">
        <f ca="1"/>
        <v>22.465758899182635</v>
      </c>
      <c r="N30" s="587">
        <f ca="1"/>
        <v>22.949312872851628</v>
      </c>
      <c r="O30" s="587">
        <f ca="1"/>
        <v>23.932093714459494</v>
      </c>
      <c r="P30" s="587">
        <f ca="1"/>
        <v>9.9033721498036336</v>
      </c>
      <c r="Q30" s="587">
        <f ca="1"/>
        <v>18.568647455330499</v>
      </c>
      <c r="R30" s="587">
        <f ca="1"/>
        <v>24.180314237896152</v>
      </c>
      <c r="S30" s="201"/>
      <c r="T30" s="199"/>
      <c r="U30" s="199"/>
      <c r="V30" s="199"/>
      <c r="W30" s="199"/>
      <c r="X30" s="199"/>
    </row>
    <row r="31" spans="4:24" ht="16.2" customHeight="1" thickTop="1" thickBot="1" x14ac:dyDescent="0.35">
      <c r="D31" s="196" t="str">
        <f t="shared" ca="1" si="6"/>
        <v>'VISITOR DAYS'!$G$31:$R$31</v>
      </c>
      <c r="E31" s="200" t="s">
        <v>96</v>
      </c>
      <c r="F31" s="194" t="str">
        <f>IF($A$4=1,"000s",IF(A4=1000,"M","Bn"))</f>
        <v>M</v>
      </c>
      <c r="G31" s="588">
        <f t="array" aca="1" ref="G31:R31" ca="1">TD.SHARE_TOTAL_ANN</f>
        <v>21.981789902206987</v>
      </c>
      <c r="H31" s="588">
        <f ca="1"/>
        <v>19.810833348183625</v>
      </c>
      <c r="I31" s="588">
        <f ca="1"/>
        <v>20.834074880966927</v>
      </c>
      <c r="J31" s="588">
        <f ca="1"/>
        <v>21.573894222992809</v>
      </c>
      <c r="K31" s="588">
        <f ca="1"/>
        <v>21.189989895587825</v>
      </c>
      <c r="L31" s="588">
        <f ca="1"/>
        <v>21.743371720184342</v>
      </c>
      <c r="M31" s="588">
        <f ca="1"/>
        <v>22.465758899182635</v>
      </c>
      <c r="N31" s="588">
        <f ca="1"/>
        <v>22.949312872851628</v>
      </c>
      <c r="O31" s="588">
        <f ca="1"/>
        <v>23.932093714459494</v>
      </c>
      <c r="P31" s="588">
        <f ca="1"/>
        <v>9.9033721498036336</v>
      </c>
      <c r="Q31" s="588">
        <f ca="1"/>
        <v>18.568647455330499</v>
      </c>
      <c r="R31" s="588">
        <f ca="1"/>
        <v>24.180314237896152</v>
      </c>
      <c r="S31" s="202"/>
      <c r="T31" s="199"/>
      <c r="U31" s="199"/>
      <c r="V31" s="199"/>
      <c r="W31" s="199"/>
      <c r="X31" s="199"/>
    </row>
    <row r="32" spans="4:24" ht="16.2" customHeight="1" thickTop="1" thickBot="1" x14ac:dyDescent="0.35">
      <c r="D32" s="196" t="str">
        <f t="shared" ca="1" si="6"/>
        <v>'VISITOR DAYS'!$G$32:$R$32</v>
      </c>
      <c r="E32" s="200" t="s">
        <v>121</v>
      </c>
      <c r="F32" s="194" t="s">
        <v>117</v>
      </c>
      <c r="G32" s="135">
        <f t="array" ref="G32:R32" ca="1">IFERROR((TD.SHARE_VT_ANN*$A$2)/(TD.SHARE_TOTAL_ANN*$A$4),"")</f>
        <v>1</v>
      </c>
      <c r="H32" s="135">
        <f ca="1"/>
        <v>1</v>
      </c>
      <c r="I32" s="135">
        <f ca="1"/>
        <v>1</v>
      </c>
      <c r="J32" s="135">
        <f ca="1"/>
        <v>1</v>
      </c>
      <c r="K32" s="135">
        <f ca="1"/>
        <v>1</v>
      </c>
      <c r="L32" s="135">
        <f ca="1"/>
        <v>1</v>
      </c>
      <c r="M32" s="135">
        <f ca="1"/>
        <v>1</v>
      </c>
      <c r="N32" s="135">
        <f ca="1"/>
        <v>1</v>
      </c>
      <c r="O32" s="135">
        <f ca="1"/>
        <v>1</v>
      </c>
      <c r="P32" s="135">
        <f ca="1"/>
        <v>1</v>
      </c>
      <c r="Q32" s="135">
        <f ca="1"/>
        <v>1</v>
      </c>
      <c r="R32" s="135">
        <f ca="1"/>
        <v>1</v>
      </c>
      <c r="S32" s="135"/>
      <c r="T32" s="199"/>
      <c r="U32" s="199"/>
      <c r="V32" s="199"/>
      <c r="W32" s="199"/>
      <c r="X32" s="199"/>
    </row>
    <row r="33" spans="4:24" ht="16.2" customHeight="1" thickTop="1" thickBot="1" x14ac:dyDescent="0.35">
      <c r="D33" s="196" t="str">
        <f t="shared" ca="1" si="6"/>
        <v>'VISITOR DAYS'!$G$33:$R$33</v>
      </c>
      <c r="E33" s="200" t="s">
        <v>122</v>
      </c>
      <c r="F33" s="194" t="s">
        <v>117</v>
      </c>
      <c r="G33" s="195"/>
      <c r="H33" s="135">
        <f ca="1">IFERROR(H32/G32-1,"")</f>
        <v>0</v>
      </c>
      <c r="I33" s="135">
        <f t="shared" ref="I33:R33" ca="1" si="7">IFERROR(I32/H32-1,"")</f>
        <v>0</v>
      </c>
      <c r="J33" s="135">
        <f t="shared" ca="1" si="7"/>
        <v>0</v>
      </c>
      <c r="K33" s="135">
        <f t="shared" ca="1" si="7"/>
        <v>0</v>
      </c>
      <c r="L33" s="135">
        <f t="shared" ca="1" si="7"/>
        <v>0</v>
      </c>
      <c r="M33" s="135">
        <f t="shared" ca="1" si="7"/>
        <v>0</v>
      </c>
      <c r="N33" s="135">
        <f t="shared" ca="1" si="7"/>
        <v>0</v>
      </c>
      <c r="O33" s="135">
        <f t="shared" ca="1" si="7"/>
        <v>0</v>
      </c>
      <c r="P33" s="135">
        <f t="shared" ca="1" si="7"/>
        <v>0</v>
      </c>
      <c r="Q33" s="135">
        <f t="shared" ca="1" si="7"/>
        <v>0</v>
      </c>
      <c r="R33" s="135">
        <f t="shared" ca="1" si="7"/>
        <v>0</v>
      </c>
      <c r="S33" s="135"/>
      <c r="T33" s="199"/>
      <c r="U33" s="199"/>
      <c r="V33" s="199"/>
      <c r="W33" s="199"/>
      <c r="X33" s="199"/>
    </row>
    <row r="34" spans="4:24" ht="16.2" customHeight="1" thickTop="1" thickBot="1" x14ac:dyDescent="0.35">
      <c r="D34" s="196" t="str">
        <f t="shared" ca="1" si="6"/>
        <v>'VISITOR DAYS'!$G$34:$R$34</v>
      </c>
      <c r="E34" s="200" t="str">
        <f>"Change in Share from "&amp;MIN(REP.yearsrange)</f>
        <v>Change in Share from 2011</v>
      </c>
      <c r="F34" s="194" t="s">
        <v>117</v>
      </c>
      <c r="G34" s="195"/>
      <c r="H34" s="135">
        <f t="shared" ref="H34:R34" ca="1" si="8">IFERROR(H32/$G$32-1,"")</f>
        <v>0</v>
      </c>
      <c r="I34" s="135">
        <f t="shared" ca="1" si="8"/>
        <v>0</v>
      </c>
      <c r="J34" s="135">
        <f t="shared" ca="1" si="8"/>
        <v>0</v>
      </c>
      <c r="K34" s="135">
        <f t="shared" ca="1" si="8"/>
        <v>0</v>
      </c>
      <c r="L34" s="135">
        <f t="shared" ca="1" si="8"/>
        <v>0</v>
      </c>
      <c r="M34" s="135">
        <f t="shared" ca="1" si="8"/>
        <v>0</v>
      </c>
      <c r="N34" s="135">
        <f t="shared" ca="1" si="8"/>
        <v>0</v>
      </c>
      <c r="O34" s="135">
        <f t="shared" ca="1" si="8"/>
        <v>0</v>
      </c>
      <c r="P34" s="135">
        <f t="shared" ca="1" si="8"/>
        <v>0</v>
      </c>
      <c r="Q34" s="135">
        <f t="shared" ca="1" si="8"/>
        <v>0</v>
      </c>
      <c r="R34" s="135">
        <f t="shared" ca="1" si="8"/>
        <v>0</v>
      </c>
      <c r="S34" s="135"/>
      <c r="T34" s="199"/>
      <c r="U34" s="199"/>
      <c r="V34" s="199"/>
      <c r="W34" s="199"/>
      <c r="X34" s="199"/>
    </row>
    <row r="35" spans="4:24" ht="16.2" customHeight="1" thickTop="1" thickBot="1" x14ac:dyDescent="0.35">
      <c r="D35" s="196" t="str">
        <f t="shared" ca="1" si="6"/>
        <v>'VISITOR DAYS'!$G$35:$R$35</v>
      </c>
      <c r="E35" s="200" t="s">
        <v>146</v>
      </c>
      <c r="F35" s="194" t="s">
        <v>117</v>
      </c>
      <c r="G35" s="195"/>
      <c r="H35" s="135">
        <f ca="1">IFERROR(H34/(H$29-$G$29),"")</f>
        <v>0</v>
      </c>
      <c r="I35" s="135">
        <f t="shared" ref="I35:R35" ca="1" si="9">IFERROR(I34/(I$29-$G$29),"")</f>
        <v>0</v>
      </c>
      <c r="J35" s="135">
        <f t="shared" ca="1" si="9"/>
        <v>0</v>
      </c>
      <c r="K35" s="135">
        <f t="shared" ca="1" si="9"/>
        <v>0</v>
      </c>
      <c r="L35" s="135">
        <f t="shared" ca="1" si="9"/>
        <v>0</v>
      </c>
      <c r="M35" s="135">
        <f t="shared" ca="1" si="9"/>
        <v>0</v>
      </c>
      <c r="N35" s="135">
        <f t="shared" ca="1" si="9"/>
        <v>0</v>
      </c>
      <c r="O35" s="135">
        <f t="shared" ca="1" si="9"/>
        <v>0</v>
      </c>
      <c r="P35" s="135">
        <f t="shared" ca="1" si="9"/>
        <v>0</v>
      </c>
      <c r="Q35" s="135">
        <f t="shared" ca="1" si="9"/>
        <v>0</v>
      </c>
      <c r="R35" s="135">
        <f t="shared" ca="1" si="9"/>
        <v>0</v>
      </c>
      <c r="S35" s="135"/>
      <c r="T35" s="199"/>
      <c r="U35" s="199"/>
      <c r="V35" s="199"/>
      <c r="W35" s="199"/>
      <c r="X35" s="199"/>
    </row>
    <row r="36" spans="4:24" ht="16.2" customHeight="1" thickTop="1" thickBot="1" x14ac:dyDescent="0.35">
      <c r="D36" s="196"/>
      <c r="E36" s="663"/>
      <c r="F36" s="267"/>
      <c r="G36" s="195"/>
      <c r="H36" s="135"/>
      <c r="I36" s="135"/>
      <c r="J36" s="135"/>
      <c r="K36" s="135"/>
      <c r="L36" s="135"/>
      <c r="M36" s="135"/>
      <c r="N36" s="135"/>
      <c r="O36" s="135"/>
      <c r="P36" s="135"/>
      <c r="Q36" s="135"/>
      <c r="R36" s="135"/>
      <c r="S36" s="135"/>
      <c r="T36" s="199"/>
      <c r="U36" s="199"/>
      <c r="V36" s="199"/>
      <c r="W36" s="199"/>
      <c r="X36" s="199"/>
    </row>
    <row r="37" spans="4:24" ht="16.2" customHeight="1" thickTop="1" thickBot="1" x14ac:dyDescent="0.35">
      <c r="D37" s="112"/>
      <c r="E37" s="203" t="str">
        <f>IF(COUNT(REP.yearsrange)&lt;MAX(REP.yearnos),"Note: This report caters for a period of up to 12 years. Parts of this page are intentionally left blank to accommodate new data as it becomes available.","")</f>
        <v/>
      </c>
      <c r="F37" s="129"/>
      <c r="G37" s="129"/>
      <c r="H37" s="129"/>
      <c r="I37" s="129"/>
      <c r="J37" s="129"/>
      <c r="K37" s="129"/>
      <c r="L37" s="129"/>
      <c r="M37" s="129"/>
      <c r="N37" s="129"/>
      <c r="O37" s="129"/>
      <c r="P37" s="129"/>
      <c r="Q37" s="129"/>
      <c r="R37" s="129"/>
      <c r="S37" s="199"/>
      <c r="T37" s="199"/>
      <c r="U37" s="199"/>
      <c r="V37" s="199"/>
      <c r="W37" s="199"/>
      <c r="X37" s="199"/>
    </row>
    <row r="38" spans="4:24" s="42" customFormat="1" ht="16.2" customHeight="1" thickTop="1" thickBot="1" x14ac:dyDescent="0.2">
      <c r="D38" s="170"/>
      <c r="E38" s="171" t="str">
        <f>REP.footer1</f>
        <v>This report is copyright © Global Tourism Solutions (UK) Ltd 2023</v>
      </c>
      <c r="F38" s="172"/>
      <c r="G38" s="172"/>
      <c r="H38" s="172"/>
      <c r="I38" s="172"/>
      <c r="J38" s="172"/>
      <c r="K38" s="172"/>
      <c r="L38" s="172"/>
      <c r="M38" s="172"/>
      <c r="N38" s="172"/>
      <c r="O38" s="172"/>
      <c r="P38" s="172"/>
      <c r="Q38" s="172"/>
      <c r="R38" s="172"/>
      <c r="S38" s="172"/>
      <c r="T38" s="172"/>
      <c r="U38" s="172"/>
      <c r="V38" s="172"/>
      <c r="W38" s="172"/>
      <c r="X38" s="173" t="str">
        <f>REP.footer2</f>
        <v>Report Prepared by: Cathy James. Date of Issue: 14/08/23</v>
      </c>
    </row>
    <row r="39" spans="4:24" ht="16.2" customHeight="1" thickTop="1" x14ac:dyDescent="0.3"/>
    <row r="40" spans="4:24" ht="16.2" customHeight="1" x14ac:dyDescent="0.3">
      <c r="G40" s="76"/>
      <c r="H40" s="76"/>
      <c r="I40" s="76"/>
      <c r="J40" s="76"/>
      <c r="K40" s="76"/>
      <c r="L40" s="76"/>
      <c r="M40" s="76"/>
      <c r="N40" s="76"/>
      <c r="O40" s="76"/>
      <c r="P40" s="76"/>
      <c r="Q40" s="76"/>
      <c r="R40" s="76"/>
      <c r="S40" s="76"/>
      <c r="T40" s="76"/>
      <c r="U40" s="76"/>
      <c r="V40" s="76"/>
    </row>
    <row r="41" spans="4:24" ht="16.2" customHeight="1" x14ac:dyDescent="0.3">
      <c r="G41" s="76"/>
      <c r="H41" s="76"/>
      <c r="I41" s="76"/>
      <c r="J41" s="76"/>
      <c r="K41" s="76"/>
      <c r="L41" s="76"/>
      <c r="M41" s="76"/>
      <c r="N41" s="76"/>
      <c r="O41" s="76"/>
      <c r="P41" s="76"/>
      <c r="Q41" s="76"/>
      <c r="R41" s="76"/>
      <c r="S41" s="76"/>
      <c r="T41" s="76"/>
      <c r="U41" s="76"/>
      <c r="V41" s="76"/>
    </row>
    <row r="70" spans="7:23" ht="16.2" customHeight="1" x14ac:dyDescent="0.3">
      <c r="G70" s="39" t="s">
        <v>43</v>
      </c>
      <c r="H70" s="39" t="s">
        <v>43</v>
      </c>
      <c r="J70" s="39" t="s">
        <v>48</v>
      </c>
      <c r="K70" s="39" t="s">
        <v>48</v>
      </c>
      <c r="M70" s="39" t="s">
        <v>18</v>
      </c>
      <c r="N70" s="39" t="s">
        <v>18</v>
      </c>
      <c r="P70" s="39" t="s">
        <v>95</v>
      </c>
      <c r="S70" s="39" t="s">
        <v>71</v>
      </c>
      <c r="T70" s="39" t="s">
        <v>71</v>
      </c>
      <c r="V70" s="39" t="s">
        <v>54</v>
      </c>
      <c r="W70" s="39" t="s">
        <v>54</v>
      </c>
    </row>
  </sheetData>
  <sheetProtection algorithmName="SHA-512" hashValue="Ed5tGXXx94AIv6gvrPVCww4UUJ9SVq0TyjzMwONyjPJZToyy2Ub80XmYeCEar5lp40YZXf/c/GooEDvGxUa7sg==" saltValue="hPYXqlgHt1NxKo58xBN1wA==" spinCount="100000" sheet="1" objects="1" scenarios="1"/>
  <mergeCells count="26">
    <mergeCell ref="E29:F29"/>
    <mergeCell ref="E10:F10"/>
    <mergeCell ref="G10:R10"/>
    <mergeCell ref="S10:S12"/>
    <mergeCell ref="T10:T12"/>
    <mergeCell ref="E11:F11"/>
    <mergeCell ref="G11:I11"/>
    <mergeCell ref="J11:L11"/>
    <mergeCell ref="M11:O11"/>
    <mergeCell ref="P11:R11"/>
    <mergeCell ref="E12:F12"/>
    <mergeCell ref="E28:R28"/>
    <mergeCell ref="S28:X28"/>
    <mergeCell ref="S6:T7"/>
    <mergeCell ref="U6:X7"/>
    <mergeCell ref="E13:F13"/>
    <mergeCell ref="T13:T16"/>
    <mergeCell ref="E14:F14"/>
    <mergeCell ref="E15:F15"/>
    <mergeCell ref="E8:F8"/>
    <mergeCell ref="G8:R8"/>
    <mergeCell ref="S8:T9"/>
    <mergeCell ref="P6:R7"/>
    <mergeCell ref="U8:X11"/>
    <mergeCell ref="E9:F9"/>
    <mergeCell ref="G9:R9"/>
  </mergeCells>
  <conditionalFormatting sqref="E16:X27">
    <cfRule type="expression" dxfId="91" priority="8">
      <formula>$E16=0</formula>
    </cfRule>
  </conditionalFormatting>
  <conditionalFormatting sqref="F30:F36">
    <cfRule type="expression" dxfId="90" priority="50">
      <formula>$E30=0</formula>
    </cfRule>
  </conditionalFormatting>
  <conditionalFormatting sqref="G9:R9">
    <cfRule type="expression" dxfId="89" priority="16">
      <formula>TYPE.no=6</formula>
    </cfRule>
    <cfRule type="expression" dxfId="88" priority="17">
      <formula>TYPE.no=5</formula>
    </cfRule>
    <cfRule type="expression" dxfId="87" priority="18">
      <formula>TYPE.no=4</formula>
    </cfRule>
    <cfRule type="expression" dxfId="86" priority="19">
      <formula>TYPE.no=3</formula>
    </cfRule>
    <cfRule type="expression" dxfId="85" priority="20">
      <formula>TYPE.no=2</formula>
    </cfRule>
    <cfRule type="expression" dxfId="84" priority="21">
      <formula>TYPE.no=1</formula>
    </cfRule>
  </conditionalFormatting>
  <conditionalFormatting sqref="G13:S15">
    <cfRule type="expression" priority="4" stopIfTrue="1">
      <formula>G13=""</formula>
    </cfRule>
    <cfRule type="cellIs" dxfId="83" priority="5" operator="lessThanOrEqual">
      <formula>-REP.percenthighlight</formula>
    </cfRule>
    <cfRule type="cellIs" dxfId="82" priority="6" operator="greaterThanOrEqual">
      <formula>REP.percenthighlight</formula>
    </cfRule>
  </conditionalFormatting>
  <conditionalFormatting sqref="G16:S27 U16:X27 G30:R31">
    <cfRule type="expression" dxfId="81" priority="7">
      <formula>$A$2=1</formula>
    </cfRule>
    <cfRule type="expression" dxfId="80" priority="33">
      <formula>AND($A$2&gt;1,G16&lt;10)</formula>
    </cfRule>
  </conditionalFormatting>
  <conditionalFormatting sqref="G30:S34 H35:S36">
    <cfRule type="expression" dxfId="79" priority="43" stopIfTrue="1">
      <formula>G$29=0</formula>
    </cfRule>
  </conditionalFormatting>
  <conditionalFormatting sqref="G33:S34">
    <cfRule type="cellIs" dxfId="78" priority="46" operator="lessThanOrEqual">
      <formula>-REP.percenthighlight</formula>
    </cfRule>
    <cfRule type="cellIs" dxfId="77" priority="47" operator="greaterThanOrEqual">
      <formula>REP.percenthighlight</formula>
    </cfRule>
  </conditionalFormatting>
  <conditionalFormatting sqref="H35:S36">
    <cfRule type="cellIs" dxfId="76" priority="44" operator="lessThanOrEqual">
      <formula>-REP.percenthighlight</formula>
    </cfRule>
    <cfRule type="cellIs" dxfId="75" priority="45" operator="greaterThanOrEqual">
      <formula>REP.percenthighlight</formula>
    </cfRule>
  </conditionalFormatting>
  <conditionalFormatting sqref="I29:S29">
    <cfRule type="expression" dxfId="74" priority="48">
      <formula>I29=0</formula>
    </cfRule>
  </conditionalFormatting>
  <conditionalFormatting sqref="S6:T7">
    <cfRule type="expression" dxfId="73" priority="22">
      <formula>TYPE.no=6</formula>
    </cfRule>
    <cfRule type="expression" dxfId="72" priority="23">
      <formula>TYPE.no=5</formula>
    </cfRule>
    <cfRule type="expression" dxfId="71" priority="24">
      <formula>TYPE.no=4</formula>
    </cfRule>
    <cfRule type="expression" dxfId="70" priority="25">
      <formula>TYPE.no=3</formula>
    </cfRule>
    <cfRule type="expression" dxfId="69" priority="26">
      <formula>TYPE.no=2</formula>
    </cfRule>
    <cfRule type="expression" dxfId="68" priority="27">
      <formula>TYPE.no=1</formula>
    </cfRule>
  </conditionalFormatting>
  <conditionalFormatting sqref="S28:X28">
    <cfRule type="expression" dxfId="67" priority="10">
      <formula>TYPE.no=6</formula>
    </cfRule>
    <cfRule type="expression" dxfId="66" priority="11">
      <formula>TYPE.no=5</formula>
    </cfRule>
    <cfRule type="expression" dxfId="65" priority="12">
      <formula>TYPE.no=4</formula>
    </cfRule>
    <cfRule type="expression" dxfId="64" priority="13">
      <formula>TYPE.no=3</formula>
    </cfRule>
    <cfRule type="expression" dxfId="63" priority="14">
      <formula>TYPE.no=2</formula>
    </cfRule>
    <cfRule type="expression" dxfId="62" priority="15">
      <formula>TYPE.no=1</formula>
    </cfRule>
  </conditionalFormatting>
  <conditionalFormatting sqref="T17:T27">
    <cfRule type="cellIs" dxfId="61" priority="30" operator="greaterThanOrEqual">
      <formula>REP.percenthighlight</formula>
    </cfRule>
    <cfRule type="cellIs" dxfId="60" priority="31" operator="lessThanOrEqual">
      <formula>-REP.percenthighlight</formula>
    </cfRule>
  </conditionalFormatting>
  <conditionalFormatting sqref="U13:X15">
    <cfRule type="cellIs" dxfId="59" priority="2" operator="lessThanOrEqual">
      <formula>-REP.percenthighlight</formula>
    </cfRule>
    <cfRule type="cellIs" dxfId="58" priority="3" operator="greaterThanOrEqual">
      <formula>REP.percenthighlight</formula>
    </cfRule>
    <cfRule type="expression" priority="1" stopIfTrue="1">
      <formula>U13=""</formula>
    </cfRule>
  </conditionalFormatting>
  <printOptions horizontalCentered="1" verticalCentered="1"/>
  <pageMargins left="0.70866141732283472" right="0.70866141732283472" top="0.74803149606299213" bottom="0.74803149606299213" header="0.31496062992125984" footer="0.31496062992125984"/>
  <pageSetup paperSize="9" scale="98"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117764" r:id="rId4" name="Drop Down 4">
              <controlPr defaultSize="0" autoLine="0" autoPict="0">
                <anchor moveWithCells="1">
                  <from>
                    <xdr:col>21</xdr:col>
                    <xdr:colOff>182880</xdr:colOff>
                    <xdr:row>4</xdr:row>
                    <xdr:rowOff>22860</xdr:rowOff>
                  </from>
                  <to>
                    <xdr:col>22</xdr:col>
                    <xdr:colOff>266700</xdr:colOff>
                    <xdr:row>4</xdr:row>
                    <xdr:rowOff>297180</xdr:rowOff>
                  </to>
                </anchor>
              </controlPr>
            </control>
          </mc:Choice>
        </mc:AlternateContent>
        <mc:AlternateContent xmlns:mc="http://schemas.openxmlformats.org/markup-compatibility/2006">
          <mc:Choice Requires="x14">
            <control shapeId="117766" r:id="rId5" name="Drop Down 6">
              <controlPr defaultSize="0" autoLine="0" autoPict="0">
                <anchor moveWithCells="1">
                  <from>
                    <xdr:col>9</xdr:col>
                    <xdr:colOff>175260</xdr:colOff>
                    <xdr:row>4</xdr:row>
                    <xdr:rowOff>22860</xdr:rowOff>
                  </from>
                  <to>
                    <xdr:col>13</xdr:col>
                    <xdr:colOff>152400</xdr:colOff>
                    <xdr:row>4</xdr:row>
                    <xdr:rowOff>297180</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Output06">
    <tabColor theme="9" tint="0.39997558519241921"/>
    <outlinePr showOutlineSymbols="0"/>
    <pageSetUpPr autoPageBreaks="0" fitToPage="1"/>
  </sheetPr>
  <dimension ref="A1:AA70"/>
  <sheetViews>
    <sheetView showGridLines="0" showRowColHeaders="0" showZeros="0" showOutlineSymbols="0" topLeftCell="A2" zoomScaleNormal="100" workbookViewId="0">
      <pane ySplit="6" topLeftCell="A8" activePane="bottomLeft" state="frozen"/>
      <selection activeCell="G33" sqref="G33:G35"/>
      <selection pane="bottomLeft" activeCell="Z16" sqref="Z16"/>
    </sheetView>
  </sheetViews>
  <sheetFormatPr defaultColWidth="4.88671875" defaultRowHeight="16.2" customHeight="1" x14ac:dyDescent="0.3"/>
  <cols>
    <col min="1" max="3" width="4.88671875" style="39"/>
    <col min="4" max="4" width="4.88671875" style="40"/>
    <col min="5" max="5" width="19.5546875" style="39" customWidth="1"/>
    <col min="6" max="6" width="5.109375" style="39" customWidth="1"/>
    <col min="7" max="24" width="7.33203125" style="39" customWidth="1"/>
    <col min="25" max="25" width="4.88671875" style="39"/>
    <col min="26" max="26" width="8.44140625" style="39" bestFit="1" customWidth="1"/>
    <col min="27" max="27" width="7.6640625" style="39" bestFit="1" customWidth="1"/>
    <col min="28" max="16384" width="4.88671875" style="39"/>
  </cols>
  <sheetData>
    <row r="1" spans="1:27" ht="16.2" hidden="1" customHeight="1" x14ac:dyDescent="0.3">
      <c r="A1" s="37" t="str">
        <f ca="1">MID(CELL("filename",A1),FIND("]",CELL("filename",A1))+1,255)</f>
        <v>EMPLOYMENT</v>
      </c>
      <c r="E1" s="53"/>
      <c r="F1" s="54"/>
      <c r="G1" s="54"/>
      <c r="H1" s="54"/>
      <c r="I1" s="54"/>
      <c r="J1" s="54"/>
      <c r="K1" s="54"/>
      <c r="L1" s="54"/>
      <c r="M1" s="54"/>
      <c r="N1" s="54"/>
      <c r="O1" s="54"/>
      <c r="P1" s="54"/>
      <c r="Q1" s="54"/>
      <c r="R1" s="54"/>
      <c r="S1" s="54"/>
      <c r="T1" s="54"/>
      <c r="U1" s="54"/>
      <c r="V1" s="54"/>
      <c r="W1" s="54"/>
      <c r="X1" s="55"/>
    </row>
    <row r="2" spans="1:27" ht="16.2" customHeight="1" thickTop="1" x14ac:dyDescent="0.3">
      <c r="A2" s="618"/>
      <c r="B2" s="618"/>
      <c r="C2" s="618"/>
      <c r="D2" s="622"/>
      <c r="E2" s="44"/>
      <c r="F2" s="45"/>
      <c r="G2" s="45"/>
      <c r="H2" s="45"/>
      <c r="I2" s="45"/>
      <c r="J2" s="45"/>
      <c r="K2" s="45"/>
      <c r="L2" s="45"/>
      <c r="M2" s="45"/>
      <c r="N2" s="45"/>
      <c r="O2" s="45"/>
      <c r="P2" s="45"/>
      <c r="Q2" s="45"/>
      <c r="R2" s="45"/>
      <c r="S2" s="45"/>
      <c r="T2" s="45"/>
      <c r="U2" s="45"/>
      <c r="V2" s="45"/>
      <c r="W2" s="45"/>
      <c r="X2" s="46"/>
    </row>
    <row r="3" spans="1:27" ht="26.4" customHeight="1" x14ac:dyDescent="0.3">
      <c r="A3" s="618"/>
      <c r="B3" s="618"/>
      <c r="C3" s="618"/>
      <c r="D3" s="622"/>
      <c r="E3" s="47"/>
      <c r="F3" s="43"/>
      <c r="G3" s="43"/>
      <c r="H3" s="43"/>
      <c r="I3" s="43"/>
      <c r="J3" s="43"/>
      <c r="K3" s="43"/>
      <c r="L3" s="43"/>
      <c r="M3" s="43"/>
      <c r="N3" s="43"/>
      <c r="O3" s="43"/>
      <c r="P3" s="43"/>
      <c r="Q3" s="43"/>
      <c r="R3" s="43"/>
      <c r="S3" s="43"/>
      <c r="T3" s="43"/>
      <c r="U3" s="43"/>
      <c r="V3" s="43"/>
      <c r="W3" s="43"/>
      <c r="X3" s="48"/>
    </row>
    <row r="4" spans="1:27" ht="26.4" customHeight="1" x14ac:dyDescent="0.3">
      <c r="A4" s="618"/>
      <c r="B4" s="618"/>
      <c r="C4" s="618"/>
      <c r="D4" s="622"/>
      <c r="E4" s="58"/>
      <c r="F4" s="59"/>
      <c r="G4" s="59"/>
      <c r="H4" s="59"/>
      <c r="I4" s="59"/>
      <c r="J4" s="59"/>
      <c r="K4" s="59"/>
      <c r="L4" s="59"/>
      <c r="M4" s="59"/>
      <c r="N4" s="59"/>
      <c r="O4" s="59"/>
      <c r="P4" s="59"/>
      <c r="Q4" s="59"/>
      <c r="R4" s="59"/>
      <c r="S4" s="59"/>
      <c r="T4" s="59"/>
      <c r="U4" s="59"/>
      <c r="V4" s="59"/>
      <c r="W4" s="59"/>
      <c r="X4" s="60"/>
    </row>
    <row r="5" spans="1:27" ht="26.4" customHeight="1" thickBot="1" x14ac:dyDescent="0.35">
      <c r="A5" s="618"/>
      <c r="B5" s="618"/>
      <c r="C5" s="618"/>
      <c r="D5" s="622"/>
      <c r="E5" s="50"/>
      <c r="F5" s="51"/>
      <c r="G5" s="51"/>
      <c r="H5" s="51"/>
      <c r="I5" s="51"/>
      <c r="J5" s="51"/>
      <c r="K5" s="51"/>
      <c r="L5" s="51"/>
      <c r="M5" s="51"/>
      <c r="N5" s="51"/>
      <c r="O5" s="51"/>
      <c r="P5" s="51"/>
      <c r="Q5" s="51"/>
      <c r="R5" s="51"/>
      <c r="S5" s="51"/>
      <c r="T5" s="51"/>
      <c r="U5" s="51"/>
      <c r="V5" s="51"/>
      <c r="W5" s="51"/>
      <c r="X5" s="52"/>
    </row>
    <row r="6" spans="1:27" ht="16.2" customHeight="1" thickTop="1" x14ac:dyDescent="0.3">
      <c r="E6" s="399" t="str">
        <f>REP.title1</f>
        <v>STEAM FINAL TREND REPORT FOR 2011-2022</v>
      </c>
      <c r="F6" s="400"/>
      <c r="G6" s="400"/>
      <c r="H6" s="400"/>
      <c r="I6" s="400"/>
      <c r="J6" s="400"/>
      <c r="K6" s="400"/>
      <c r="L6" s="400"/>
      <c r="M6" s="400"/>
      <c r="N6" s="400"/>
      <c r="O6" s="401"/>
      <c r="P6" s="1091" t="str">
        <f>MIN(REP.yearsrange)&amp;" to "&amp;MAX(REP.yearsrange)</f>
        <v>2011 to 2022</v>
      </c>
      <c r="Q6" s="1092"/>
      <c r="R6" s="1093"/>
      <c r="S6" s="929" t="str">
        <f>UPPER(VISTYPE.short)</f>
        <v>TOTAL</v>
      </c>
      <c r="T6" s="930"/>
      <c r="U6" s="1070" t="str">
        <f ca="1">IF(TYPE.no=1,"TOTAL "&amp;$A$1,"DIRECT "&amp;$A$1)</f>
        <v>TOTAL EMPLOYMENT</v>
      </c>
      <c r="V6" s="1071"/>
      <c r="W6" s="1071"/>
      <c r="X6" s="1072"/>
    </row>
    <row r="7" spans="1:27" ht="16.2" customHeight="1" thickBot="1" x14ac:dyDescent="0.35">
      <c r="E7" s="402" t="str">
        <f>REP.title2</f>
        <v>GWYNEDD COUNCIL</v>
      </c>
      <c r="F7" s="403"/>
      <c r="G7" s="403"/>
      <c r="H7" s="403"/>
      <c r="I7" s="404"/>
      <c r="J7" s="404"/>
      <c r="K7" s="404"/>
      <c r="L7" s="404"/>
      <c r="M7" s="404"/>
      <c r="N7" s="404"/>
      <c r="O7" s="405"/>
      <c r="P7" s="1094"/>
      <c r="Q7" s="1095"/>
      <c r="R7" s="1096"/>
      <c r="S7" s="931"/>
      <c r="T7" s="932"/>
      <c r="U7" s="1073"/>
      <c r="V7" s="1074"/>
      <c r="W7" s="1074"/>
      <c r="X7" s="1075"/>
    </row>
    <row r="8" spans="1:27" ht="16.2" customHeight="1" thickTop="1" thickBot="1" x14ac:dyDescent="0.35">
      <c r="E8" s="1046" t="str">
        <f ca="1">$A$1&amp;" BY:"</f>
        <v>EMPLOYMENT BY:</v>
      </c>
      <c r="F8" s="1048"/>
      <c r="G8" s="1046" t="s">
        <v>132</v>
      </c>
      <c r="H8" s="1047"/>
      <c r="I8" s="1047"/>
      <c r="J8" s="1047"/>
      <c r="K8" s="1047"/>
      <c r="L8" s="1047"/>
      <c r="M8" s="1047"/>
      <c r="N8" s="1047"/>
      <c r="O8" s="1047"/>
      <c r="P8" s="1047"/>
      <c r="Q8" s="1047"/>
      <c r="R8" s="1047"/>
      <c r="S8" s="1076" t="s">
        <v>123</v>
      </c>
      <c r="T8" s="1077"/>
      <c r="U8" s="1080" t="s">
        <v>124</v>
      </c>
      <c r="V8" s="1081"/>
      <c r="W8" s="1081"/>
      <c r="X8" s="1082"/>
    </row>
    <row r="9" spans="1:27" s="35" customFormat="1" ht="16.2" customHeight="1" thickTop="1" thickBot="1" x14ac:dyDescent="0.35">
      <c r="E9" s="1089" t="s">
        <v>90</v>
      </c>
      <c r="F9" s="1090"/>
      <c r="G9" s="998" t="str">
        <f>UPPER(TYPE.userselected)</f>
        <v>TOTAL</v>
      </c>
      <c r="H9" s="998"/>
      <c r="I9" s="998"/>
      <c r="J9" s="998"/>
      <c r="K9" s="998"/>
      <c r="L9" s="998"/>
      <c r="M9" s="998"/>
      <c r="N9" s="998"/>
      <c r="O9" s="998"/>
      <c r="P9" s="998"/>
      <c r="Q9" s="998"/>
      <c r="R9" s="999"/>
      <c r="S9" s="1078"/>
      <c r="T9" s="1079"/>
      <c r="U9" s="1083"/>
      <c r="V9" s="1084"/>
      <c r="W9" s="1084"/>
      <c r="X9" s="1085"/>
    </row>
    <row r="10" spans="1:27" s="35" customFormat="1" ht="16.2" customHeight="1" thickTop="1" thickBot="1" x14ac:dyDescent="0.35">
      <c r="E10" s="1044" t="str">
        <f>REP.highlightup</f>
        <v>An increase of 3% or more</v>
      </c>
      <c r="F10" s="1045"/>
      <c r="G10" s="1046" t="str">
        <f ca="1">U6&amp;" IN FULL TIME EQUIVALENTS (FTEs) / PERCENTAGE CHANGES"</f>
        <v>TOTAL EMPLOYMENT IN FULL TIME EQUIVALENTS (FTEs) / PERCENTAGE CHANGES</v>
      </c>
      <c r="H10" s="1047"/>
      <c r="I10" s="1047"/>
      <c r="J10" s="1047"/>
      <c r="K10" s="1047"/>
      <c r="L10" s="1047"/>
      <c r="M10" s="1047"/>
      <c r="N10" s="1047"/>
      <c r="O10" s="1047"/>
      <c r="P10" s="1047"/>
      <c r="Q10" s="1047"/>
      <c r="R10" s="1048"/>
      <c r="S10" s="1049" t="s">
        <v>38</v>
      </c>
      <c r="T10" s="1049" t="s">
        <v>118</v>
      </c>
      <c r="U10" s="1083"/>
      <c r="V10" s="1084"/>
      <c r="W10" s="1084"/>
      <c r="X10" s="1085"/>
    </row>
    <row r="11" spans="1:27" s="35" customFormat="1" ht="16.2" customHeight="1" thickTop="1" thickBot="1" x14ac:dyDescent="0.35">
      <c r="E11" s="1052" t="str">
        <f>REP.highlightsame</f>
        <v>Less than 3% change</v>
      </c>
      <c r="F11" s="1053"/>
      <c r="G11" s="1054" t="s">
        <v>91</v>
      </c>
      <c r="H11" s="1055"/>
      <c r="I11" s="1056"/>
      <c r="J11" s="1057" t="s">
        <v>92</v>
      </c>
      <c r="K11" s="1058"/>
      <c r="L11" s="1059"/>
      <c r="M11" s="1060" t="s">
        <v>93</v>
      </c>
      <c r="N11" s="1061"/>
      <c r="O11" s="1062"/>
      <c r="P11" s="1063" t="s">
        <v>94</v>
      </c>
      <c r="Q11" s="1064"/>
      <c r="R11" s="1065"/>
      <c r="S11" s="1050"/>
      <c r="T11" s="1050"/>
      <c r="U11" s="1086"/>
      <c r="V11" s="1087"/>
      <c r="W11" s="1087"/>
      <c r="X11" s="1088"/>
    </row>
    <row r="12" spans="1:27" ht="16.2" customHeight="1" thickTop="1" thickBot="1" x14ac:dyDescent="0.35">
      <c r="E12" s="1066" t="str">
        <f>REP.highlightdown</f>
        <v>A Fall of 3% or more</v>
      </c>
      <c r="F12" s="1067"/>
      <c r="G12" s="66" t="s">
        <v>26</v>
      </c>
      <c r="H12" s="66" t="s">
        <v>27</v>
      </c>
      <c r="I12" s="66" t="s">
        <v>28</v>
      </c>
      <c r="J12" s="67" t="s">
        <v>29</v>
      </c>
      <c r="K12" s="67" t="s">
        <v>30</v>
      </c>
      <c r="L12" s="67" t="s">
        <v>31</v>
      </c>
      <c r="M12" s="65" t="s">
        <v>32</v>
      </c>
      <c r="N12" s="65" t="s">
        <v>33</v>
      </c>
      <c r="O12" s="65" t="s">
        <v>34</v>
      </c>
      <c r="P12" s="64" t="s">
        <v>35</v>
      </c>
      <c r="Q12" s="64" t="s">
        <v>36</v>
      </c>
      <c r="R12" s="64" t="s">
        <v>37</v>
      </c>
      <c r="S12" s="1051"/>
      <c r="T12" s="1051"/>
      <c r="U12" s="68" t="s">
        <v>91</v>
      </c>
      <c r="V12" s="69" t="s">
        <v>92</v>
      </c>
      <c r="W12" s="70" t="s">
        <v>93</v>
      </c>
      <c r="X12" s="71" t="s">
        <v>94</v>
      </c>
    </row>
    <row r="13" spans="1:27" ht="16.2" customHeight="1" thickTop="1" thickBot="1" x14ac:dyDescent="0.35">
      <c r="E13" s="1068" t="str">
        <f>"% Change "&amp;MIN(REP.yearsrange)&amp;" to "&amp;MAX(REP.yearsrange)</f>
        <v>% Change 2011 to 2022</v>
      </c>
      <c r="F13" s="1068"/>
      <c r="G13" s="135">
        <f ca="1">IFERROR(INDEX(G$16:G$27,MATCH(MAX(REP.yearsrange),$E$16:$E$27,0))/INDEX(G$16:G$27,MATCH(MIN(REP.yearsrange),$E$16:$E$27,0))-1,"")</f>
        <v>1.0578182823621716</v>
      </c>
      <c r="H13" s="135">
        <f ca="1">IFERROR(INDEX(H$16:H$27,MATCH(MAX(REP.yearsrange),$E$16:$E$27,0))/INDEX(H$16:H$27,MATCH(MIN(REP.yearsrange),$E$16:$E$27,0))-1,"")</f>
        <v>1.2155910217888968</v>
      </c>
      <c r="I13" s="135">
        <f ca="1">IFERROR(INDEX(I$16:I$27,MATCH(MAX(REP.yearsrange),$E$16:$E$27,0))/INDEX(I$16:I$27,MATCH(MIN(REP.yearsrange),$E$16:$E$27,0))-1,"")</f>
        <v>1.7874209429862318</v>
      </c>
      <c r="J13" s="135">
        <f ca="1">IFERROR(INDEX(J$16:J$27,MATCH(MAX(REP.yearsrange),$E$16:$E$27,0))/INDEX(J$16:J$27,MATCH(MIN(REP.yearsrange),$E$16:$E$27,0))-1,"")</f>
        <v>-0.18011529292280182</v>
      </c>
      <c r="K13" s="135">
        <f ca="1">IFERROR(INDEX(K$16:K$27,MATCH(MAX(REP.yearsrange),$E$16:$E$27,0))/INDEX(K$16:K$27,MATCH(MIN(REP.yearsrange),$E$16:$E$27,0))-1,"")</f>
        <v>-9.3924054117817346E-2</v>
      </c>
      <c r="L13" s="135">
        <f ca="1">IFERROR(INDEX(L$16:L$27,MATCH(MAX(REP.yearsrange),$E$16:$E$27,0))/INDEX(L$16:L$27,MATCH(MIN(REP.yearsrange),$E$16:$E$27,0))-1,"")</f>
        <v>-0.11126875814215753</v>
      </c>
      <c r="M13" s="135">
        <f ca="1">IFERROR(INDEX(M$16:M$27,MATCH(MAX(REP.yearsrange),$E$16:$E$27,0))/INDEX(M$16:M$27,MATCH(MIN(REP.yearsrange),$E$16:$E$27,0))-1,"")</f>
        <v>-0.12780793912432165</v>
      </c>
      <c r="N13" s="135">
        <f ca="1">IFERROR(INDEX(N$16:N$27,MATCH(MAX(REP.yearsrange),$E$16:$E$27,0))/INDEX(N$16:N$27,MATCH(MIN(REP.yearsrange),$E$16:$E$27,0))-1,"")</f>
        <v>-9.4287105148281869E-2</v>
      </c>
      <c r="O13" s="135">
        <f ca="1">IFERROR(INDEX(O$16:O$27,MATCH(MAX(REP.yearsrange),$E$16:$E$27,0))/INDEX(O$16:O$27,MATCH(MIN(REP.yearsrange),$E$16:$E$27,0))-1,"")</f>
        <v>-6.4044956679777276E-2</v>
      </c>
      <c r="P13" s="135">
        <f ca="1">IFERROR(INDEX(P$16:P$27,MATCH(MAX(REP.yearsrange),$E$16:$E$27,0))/INDEX(P$16:P$27,MATCH(MIN(REP.yearsrange),$E$16:$E$27,0))-1,"")</f>
        <v>0.15938995618149976</v>
      </c>
      <c r="Q13" s="135">
        <f ca="1">IFERROR(INDEX(Q$16:Q$27,MATCH(MAX(REP.yearsrange),$E$16:$E$27,0))/INDEX(Q$16:Q$27,MATCH(MIN(REP.yearsrange),$E$16:$E$27,0))-1,"")</f>
        <v>1.0709986875472342</v>
      </c>
      <c r="R13" s="135">
        <f ca="1">IFERROR(INDEX(R$16:R$27,MATCH(MAX(REP.yearsrange),$E$16:$E$27,0))/INDEX(R$16:R$27,MATCH(MIN(REP.yearsrange),$E$16:$E$27,0))-1,"")</f>
        <v>1.0307954787240545</v>
      </c>
      <c r="S13" s="135">
        <f ca="1">IFERROR(INDEX(S$16:S$27,MATCH(MAX(REP.yearsrange),$E$16:$E$27,0))/INDEX(S$16:S$27,MATCH(MIN(REP.yearsrange),$E$16:$E$27,0))-1,"")</f>
        <v>0.11512198269588025</v>
      </c>
      <c r="T13" s="1069" t="str">
        <f>"Annual"&amp;CHAR(10)&amp;"Change"</f>
        <v>Annual
Change</v>
      </c>
      <c r="U13" s="135">
        <f ca="1">IFERROR(INDEX(U$16:U$27,MATCH(MAX(REP.yearsrange),$E$16:$E$27,0))/INDEX(U$16:U$27,MATCH(MIN(REP.yearsrange),$E$16:$E$27,0))-1,"")</f>
        <v>1.4011446799192893</v>
      </c>
      <c r="V13" s="135">
        <f ca="1">IFERROR(INDEX(V$16:V$27,MATCH(MAX(REP.yearsrange),$E$16:$E$27,0))/INDEX(V$16:V$27,MATCH(MIN(REP.yearsrange),$E$16:$E$27,0))-1,"")</f>
        <v>-0.12777721434957567</v>
      </c>
      <c r="W13" s="135">
        <f ca="1">IFERROR(INDEX(W$16:W$27,MATCH(MAX(REP.yearsrange),$E$16:$E$27,0))/INDEX(W$16:W$27,MATCH(MIN(REP.yearsrange),$E$16:$E$27,0))-1,"")</f>
        <v>-9.8024699684109984E-2</v>
      </c>
      <c r="X13" s="135">
        <f ca="1">IFERROR(INDEX(X$16:X$27,MATCH(MAX(REP.yearsrange),$E$16:$E$27,0))/INDEX(X$16:X$27,MATCH(MIN(REP.yearsrange),$E$16:$E$27,0))-1,"")</f>
        <v>0.52908578287018648</v>
      </c>
    </row>
    <row r="14" spans="1:27" ht="16.2" customHeight="1" thickTop="1" thickBot="1" x14ac:dyDescent="0.35">
      <c r="E14" s="1068" t="str">
        <f>"% Change "&amp;INDEX(REP.yearsrange,COUNT(REP.yearsrange)-1)&amp;" to "&amp;MAX(REP.yearsrange)</f>
        <v>% Change 2021 to 2022</v>
      </c>
      <c r="F14" s="1068"/>
      <c r="G14" s="135" t="str">
        <f ca="1">IFERROR(INDEX(G$16:G$27,MATCH(MAX(REP.yearsrange),$E$16:$E$27,0))/INDEX(G$16:G$27,MATCH(INDEX(REP.yearsrange,COUNT(REP.yearsrange)-1),$E$16:$E$27,0))-1,"")</f>
        <v/>
      </c>
      <c r="H14" s="135" t="str">
        <f ca="1">IFERROR(INDEX(H$16:H$27,MATCH(MAX(REP.yearsrange),$E$16:$E$27,0))/INDEX(H$16:H$27,MATCH(INDEX(REP.yearsrange,COUNT(REP.yearsrange)-1),$E$16:$E$27,0))-1,"")</f>
        <v/>
      </c>
      <c r="I14" s="135">
        <f ca="1">IFERROR(INDEX(I$16:I$27,MATCH(MAX(REP.yearsrange),$E$16:$E$27,0))/INDEX(I$16:I$27,MATCH(INDEX(REP.yearsrange,COUNT(REP.yearsrange)-1),$E$16:$E$27,0))-1,"")</f>
        <v>5.8814412590604279</v>
      </c>
      <c r="J14" s="135">
        <f ca="1">IFERROR(INDEX(J$16:J$27,MATCH(MAX(REP.yearsrange),$E$16:$E$27,0))/INDEX(J$16:J$27,MATCH(INDEX(REP.yearsrange,COUNT(REP.yearsrange)-1),$E$16:$E$27,0))-1,"")</f>
        <v>0.75135000855156275</v>
      </c>
      <c r="K14" s="135">
        <f ca="1">IFERROR(INDEX(K$16:K$27,MATCH(MAX(REP.yearsrange),$E$16:$E$27,0))/INDEX(K$16:K$27,MATCH(INDEX(REP.yearsrange,COUNT(REP.yearsrange)-1),$E$16:$E$27,0))-1,"")</f>
        <v>0.57246481904625091</v>
      </c>
      <c r="L14" s="135">
        <f ca="1">IFERROR(INDEX(L$16:L$27,MATCH(MAX(REP.yearsrange),$E$16:$E$27,0))/INDEX(L$16:L$27,MATCH(INDEX(REP.yearsrange,COUNT(REP.yearsrange)-1),$E$16:$E$27,0))-1,"")</f>
        <v>-2.668973691228127E-2</v>
      </c>
      <c r="M14" s="135">
        <f ca="1">IFERROR(INDEX(M$16:M$27,MATCH(MAX(REP.yearsrange),$E$16:$E$27,0))/INDEX(M$16:M$27,MATCH(INDEX(REP.yearsrange,COUNT(REP.yearsrange)-1),$E$16:$E$27,0))-1,"")</f>
        <v>-5.4657957363386189E-2</v>
      </c>
      <c r="N14" s="135">
        <f ca="1">IFERROR(INDEX(N$16:N$27,MATCH(MAX(REP.yearsrange),$E$16:$E$27,0))/INDEX(N$16:N$27,MATCH(INDEX(REP.yearsrange,COUNT(REP.yearsrange)-1),$E$16:$E$27,0))-1,"")</f>
        <v>-0.17370532438979702</v>
      </c>
      <c r="O14" s="135">
        <f ca="1">IFERROR(INDEX(O$16:O$27,MATCH(MAX(REP.yearsrange),$E$16:$E$27,0))/INDEX(O$16:O$27,MATCH(INDEX(REP.yearsrange,COUNT(REP.yearsrange)-1),$E$16:$E$27,0))-1,"")</f>
        <v>-0.24465725700110774</v>
      </c>
      <c r="P14" s="135">
        <f ca="1">IFERROR(INDEX(P$16:P$27,MATCH(MAX(REP.yearsrange),$E$16:$E$27,0))/INDEX(P$16:P$27,MATCH(INDEX(REP.yearsrange,COUNT(REP.yearsrange)-1),$E$16:$E$27,0))-1,"")</f>
        <v>-0.20030697929509012</v>
      </c>
      <c r="Q14" s="135">
        <f ca="1">IFERROR(INDEX(Q$16:Q$27,MATCH(MAX(REP.yearsrange),$E$16:$E$27,0))/INDEX(Q$16:Q$27,MATCH(INDEX(REP.yearsrange,COUNT(REP.yearsrange)-1),$E$16:$E$27,0))-1,"")</f>
        <v>0.14594483169312711</v>
      </c>
      <c r="R14" s="135">
        <f ca="1">IFERROR(INDEX(R$16:R$27,MATCH(MAX(REP.yearsrange),$E$16:$E$27,0))/INDEX(R$16:R$27,MATCH(INDEX(REP.yearsrange,COUNT(REP.yearsrange)-1),$E$16:$E$27,0))-1,"")</f>
        <v>-6.9761515897512894E-3</v>
      </c>
      <c r="S14" s="135">
        <f ca="1">IFERROR(INDEX(S$16:S$27,MATCH(MAX(REP.yearsrange),$E$16:$E$27,0))/INDEX(S$16:S$27,MATCH(INDEX(REP.yearsrange,COUNT(REP.yearsrange)-1),$E$16:$E$27,0))-1,"")</f>
        <v>0.21064450054780792</v>
      </c>
      <c r="T14" s="1069"/>
      <c r="U14" s="135">
        <f ca="1">IFERROR(INDEX(U$16:U$27,MATCH(MAX(REP.yearsrange),$E$16:$E$27,0))/INDEX(U$16:U$27,MATCH(INDEX(REP.yearsrange,COUNT(REP.yearsrange)-1),$E$16:$E$27,0))-1,"")</f>
        <v>13.772725922536289</v>
      </c>
      <c r="V14" s="135">
        <f ca="1">IFERROR(INDEX(V$16:V$27,MATCH(MAX(REP.yearsrange),$E$16:$E$27,0))/INDEX(V$16:V$27,MATCH(INDEX(REP.yearsrange,COUNT(REP.yearsrange)-1),$E$16:$E$27,0))-1,"")</f>
        <v>0.31673888168785647</v>
      </c>
      <c r="W14" s="135">
        <f ca="1">IFERROR(INDEX(W$16:W$27,MATCH(MAX(REP.yearsrange),$E$16:$E$27,0))/INDEX(W$16:W$27,MATCH(INDEX(REP.yearsrange,COUNT(REP.yearsrange)-1),$E$16:$E$27,0))-1,"")</f>
        <v>-0.15949441879118886</v>
      </c>
      <c r="X14" s="135">
        <f ca="1">IFERROR(INDEX(X$16:X$27,MATCH(MAX(REP.yearsrange),$E$16:$E$27,0))/INDEX(X$16:X$27,MATCH(INDEX(REP.yearsrange,COUNT(REP.yearsrange)-1),$E$16:$E$27,0))-1,"")</f>
        <v>-7.0805371523693705E-2</v>
      </c>
    </row>
    <row r="15" spans="1:27" ht="16.2" customHeight="1" thickTop="1" thickBot="1" x14ac:dyDescent="0.35">
      <c r="E15" s="1068" t="s">
        <v>116</v>
      </c>
      <c r="F15" s="1068"/>
      <c r="G15" s="135">
        <f ca="1">IFERROR(G13/(MAX(REP.yearsrange)-MIN(REP.yearsrange)),"")</f>
        <v>9.6165298396561058E-2</v>
      </c>
      <c r="H15" s="135">
        <f ca="1">IFERROR(H13/(MAX(REP.yearsrange)-MIN(REP.yearsrange)),"")</f>
        <v>0.11050827470808153</v>
      </c>
      <c r="I15" s="135">
        <f ca="1">IFERROR(I13/(MAX(REP.yearsrange)-MIN(REP.yearsrange)),"")</f>
        <v>0.16249281299874835</v>
      </c>
      <c r="J15" s="135">
        <f ca="1">IFERROR(J13/(MAX(REP.yearsrange)-MIN(REP.yearsrange)),"")</f>
        <v>-1.6374117538436529E-2</v>
      </c>
      <c r="K15" s="135">
        <f ca="1">IFERROR(K13/(MAX(REP.yearsrange)-MIN(REP.yearsrange)),"")</f>
        <v>-8.5385503743470315E-3</v>
      </c>
      <c r="L15" s="135">
        <f ca="1">IFERROR(L13/(MAX(REP.yearsrange)-MIN(REP.yearsrange)),"")</f>
        <v>-1.0115341649287048E-2</v>
      </c>
      <c r="M15" s="135">
        <f ca="1">IFERROR(M13/(MAX(REP.yearsrange)-MIN(REP.yearsrange)),"")</f>
        <v>-1.1618903556756514E-2</v>
      </c>
      <c r="N15" s="135">
        <f ca="1">IFERROR(N13/(MAX(REP.yearsrange)-MIN(REP.yearsrange)),"")</f>
        <v>-8.5715550134801699E-3</v>
      </c>
      <c r="O15" s="135">
        <f ca="1">IFERROR(O13/(MAX(REP.yearsrange)-MIN(REP.yearsrange)),"")</f>
        <v>-5.8222687890706615E-3</v>
      </c>
      <c r="P15" s="135">
        <f ca="1">IFERROR(P13/(MAX(REP.yearsrange)-MIN(REP.yearsrange)),"")</f>
        <v>1.4489996016499978E-2</v>
      </c>
      <c r="Q15" s="135">
        <f ca="1">IFERROR(Q13/(MAX(REP.yearsrange)-MIN(REP.yearsrange)),"")</f>
        <v>9.7363517049748563E-2</v>
      </c>
      <c r="R15" s="135">
        <f ca="1">IFERROR(R13/(MAX(REP.yearsrange)-MIN(REP.yearsrange)),"")</f>
        <v>9.3708679884004956E-2</v>
      </c>
      <c r="S15" s="135">
        <f ca="1">IFERROR(S13/(MAX(REP.yearsrange)-MIN(REP.yearsrange)),"")</f>
        <v>1.0465634790534568E-2</v>
      </c>
      <c r="T15" s="1069"/>
      <c r="U15" s="135">
        <f ca="1">IFERROR(U13/(MAX(REP.yearsrange)-MIN(REP.yearsrange)),"")</f>
        <v>0.12737678908357175</v>
      </c>
      <c r="V15" s="135">
        <f ca="1">IFERROR(V13/(MAX(REP.yearsrange)-MIN(REP.yearsrange)),"")</f>
        <v>-1.161611039541597E-2</v>
      </c>
      <c r="W15" s="135">
        <f ca="1">IFERROR(W13/(MAX(REP.yearsrange)-MIN(REP.yearsrange)),"")</f>
        <v>-8.9113363349190896E-3</v>
      </c>
      <c r="X15" s="135">
        <f ca="1">IFERROR(X13/(MAX(REP.yearsrange)-MIN(REP.yearsrange)),"")</f>
        <v>4.8098707533653313E-2</v>
      </c>
    </row>
    <row r="16" spans="1:27" ht="16.2" customHeight="1" thickTop="1" thickBot="1" x14ac:dyDescent="0.35">
      <c r="E16" s="86">
        <f t="array" ref="E16:E27">INDEX(REP.yearsrange,REP.yearnos)</f>
        <v>2011</v>
      </c>
      <c r="F16" s="36" t="s">
        <v>59</v>
      </c>
      <c r="G16" s="94">
        <f t="array" aca="1" ref="G16:G27" ca="1">EMP.MONTHLYDATA</f>
        <v>4858.1299836645367</v>
      </c>
      <c r="H16" s="94">
        <f t="array" aca="1" ref="H16:H27" ca="1">EMP.MONTHLYDATA</f>
        <v>5594.7375893478429</v>
      </c>
      <c r="I16" s="94">
        <f t="array" aca="1" ref="I16:I27" ca="1">EMP.MONTHLYDATA</f>
        <v>7005.4739337423689</v>
      </c>
      <c r="J16" s="95">
        <f t="array" aca="1" ref="J16:J27" ca="1">EMP.MONTHLYDATA</f>
        <v>22037.310375548765</v>
      </c>
      <c r="K16" s="95">
        <f t="array" aca="1" ref="K16:K27" ca="1">EMP.MONTHLYDATA</f>
        <v>22046.104510585734</v>
      </c>
      <c r="L16" s="95">
        <f t="array" aca="1" ref="L16:L27" ca="1">EMP.MONTHLYDATA</f>
        <v>24657.676549560136</v>
      </c>
      <c r="M16" s="96">
        <f t="array" aca="1" ref="M16:M27" ca="1">EMP.MONTHLYDATA</f>
        <v>27705.454467444171</v>
      </c>
      <c r="N16" s="96">
        <f t="array" aca="1" ref="N16:N27" ca="1">EMP.MONTHLYDATA</f>
        <v>29527.207827171354</v>
      </c>
      <c r="O16" s="96">
        <f t="array" aca="1" ref="O16:O27" ca="1">EMP.MONTHLYDATA</f>
        <v>21035.987631793658</v>
      </c>
      <c r="P16" s="97">
        <f t="array" aca="1" ref="P16:P27" ca="1">EMP.MONTHLYDATA</f>
        <v>15459.360218717036</v>
      </c>
      <c r="Q16" s="97">
        <f t="array" aca="1" ref="Q16:Q27" ca="1">EMP.MONTHLYDATA</f>
        <v>5645.6617186369931</v>
      </c>
      <c r="R16" s="97">
        <f t="array" aca="1" ref="R16:R27" ca="1">EMP.MONTHLYDATA</f>
        <v>5293.507455235138</v>
      </c>
      <c r="S16" s="98">
        <f t="array" aca="1" ref="S16:S27" ca="1">EMP.MONTHLYDATA</f>
        <v>15905.551021787311</v>
      </c>
      <c r="T16" s="1069"/>
      <c r="U16" s="94">
        <f ca="1">IFERROR(IF(AVERAGE(G16:I16)=0,"",AVERAGE(G16:I16)),"")</f>
        <v>5819.4471689182492</v>
      </c>
      <c r="V16" s="95">
        <f ca="1">IFERROR(IF(AVERAGE(J16:L16)=0,"",AVERAGE(J16:L16)),"")</f>
        <v>22913.697145231545</v>
      </c>
      <c r="W16" s="96">
        <f ca="1">IFERROR(IF(AVERAGE(M16:O16)=0,"",AVERAGE(M16:O16)),"")</f>
        <v>26089.549975469727</v>
      </c>
      <c r="X16" s="97">
        <f ca="1">IFERROR(IF(AVERAGE(P16:R16)=0,"",AVERAGE(P16:R16)),"")</f>
        <v>8799.5097975297231</v>
      </c>
      <c r="Y16" s="73"/>
      <c r="AA16" s="104">
        <f ca="1">S16</f>
        <v>15905.551021787311</v>
      </c>
    </row>
    <row r="17" spans="4:24" ht="16.2" customHeight="1" thickTop="1" thickBot="1" x14ac:dyDescent="0.35">
      <c r="E17" s="86">
        <v>2012</v>
      </c>
      <c r="F17" s="36" t="str">
        <f>$F$16</f>
        <v>FTEs</v>
      </c>
      <c r="G17" s="94">
        <f ca="1"/>
        <v>4650.8447926701356</v>
      </c>
      <c r="H17" s="94">
        <f ca="1"/>
        <v>5058.7651159870711</v>
      </c>
      <c r="I17" s="94">
        <f ca="1"/>
        <v>7289.2623906470744</v>
      </c>
      <c r="J17" s="95">
        <f ca="1"/>
        <v>17933.796365062051</v>
      </c>
      <c r="K17" s="95">
        <f ca="1"/>
        <v>17975.193057091063</v>
      </c>
      <c r="L17" s="95">
        <f ca="1"/>
        <v>22980.647590586454</v>
      </c>
      <c r="M17" s="96">
        <f ca="1"/>
        <v>24456.349447184715</v>
      </c>
      <c r="N17" s="96">
        <f ca="1"/>
        <v>27730.16604797465</v>
      </c>
      <c r="O17" s="96">
        <f ca="1"/>
        <v>19277.031899537971</v>
      </c>
      <c r="P17" s="97">
        <f ca="1"/>
        <v>16438.267778392536</v>
      </c>
      <c r="Q17" s="97">
        <f ca="1"/>
        <v>5324.1891617354831</v>
      </c>
      <c r="R17" s="97">
        <f ca="1"/>
        <v>5024.9578528870952</v>
      </c>
      <c r="S17" s="98">
        <f ca="1"/>
        <v>14511.622624979691</v>
      </c>
      <c r="T17" s="38">
        <f ca="1">IFERROR(IF(S17&lt;&gt;0,S17/S16-1,""),"")</f>
        <v>-8.7637856424981897E-2</v>
      </c>
      <c r="U17" s="94">
        <f t="shared" ref="U17:U27" ca="1" si="0">IFERROR(IF(AVERAGE(G17:I17)=0,"",AVERAGE(G17:I17)),"")</f>
        <v>5666.2907664347613</v>
      </c>
      <c r="V17" s="95">
        <f t="shared" ref="V17:V27" ca="1" si="1">IFERROR(IF(AVERAGE(J17:L17)=0,"",AVERAGE(J17:L17)),"")</f>
        <v>19629.879004246523</v>
      </c>
      <c r="W17" s="96">
        <f t="shared" ref="W17:W27" ca="1" si="2">IFERROR(IF(AVERAGE(M17:O17)=0,"",AVERAGE(M17:O17)),"")</f>
        <v>23821.182464899113</v>
      </c>
      <c r="X17" s="97">
        <f t="shared" ref="X17:X27" ca="1" si="3">IFERROR(IF(AVERAGE(P17:R17)=0,"",AVERAGE(P17:R17)),"")</f>
        <v>8929.1382643383713</v>
      </c>
    </row>
    <row r="18" spans="4:24" ht="16.2" customHeight="1" thickTop="1" thickBot="1" x14ac:dyDescent="0.35">
      <c r="E18" s="86">
        <v>2013</v>
      </c>
      <c r="F18" s="36" t="str">
        <f t="shared" ref="F18:F27" si="4">$F$16</f>
        <v>FTEs</v>
      </c>
      <c r="G18" s="94">
        <f ca="1"/>
        <v>6920.0371949099426</v>
      </c>
      <c r="H18" s="94">
        <f ca="1"/>
        <v>7581.6459951370734</v>
      </c>
      <c r="I18" s="94">
        <f ca="1"/>
        <v>14073.83785932098</v>
      </c>
      <c r="J18" s="95">
        <f ca="1"/>
        <v>17161.49281891005</v>
      </c>
      <c r="K18" s="95">
        <f ca="1"/>
        <v>18560.894863819343</v>
      </c>
      <c r="L18" s="95">
        <f ca="1"/>
        <v>20929.988754562688</v>
      </c>
      <c r="M18" s="96">
        <f ca="1"/>
        <v>24285.259942275428</v>
      </c>
      <c r="N18" s="96">
        <f ca="1"/>
        <v>27107.625512417413</v>
      </c>
      <c r="O18" s="96">
        <f ca="1"/>
        <v>18266.983809541158</v>
      </c>
      <c r="P18" s="97">
        <f ca="1"/>
        <v>15433.220421934622</v>
      </c>
      <c r="Q18" s="97">
        <f ca="1"/>
        <v>8763.5504224738033</v>
      </c>
      <c r="R18" s="97">
        <f ca="1"/>
        <v>7936.2936388399903</v>
      </c>
      <c r="S18" s="98">
        <f ca="1"/>
        <v>15585.069269511876</v>
      </c>
      <c r="T18" s="38">
        <f t="shared" ref="T18:T27" ca="1" si="5">IFERROR(IF(S18&lt;&gt;0,S18/S17-1,""),"")</f>
        <v>7.3971510441871668E-2</v>
      </c>
      <c r="U18" s="94">
        <f t="shared" ca="1" si="0"/>
        <v>9525.1736831226663</v>
      </c>
      <c r="V18" s="95">
        <f t="shared" ca="1" si="1"/>
        <v>18884.125479097362</v>
      </c>
      <c r="W18" s="96">
        <f t="shared" ca="1" si="2"/>
        <v>23219.956421411334</v>
      </c>
      <c r="X18" s="97">
        <f t="shared" ca="1" si="3"/>
        <v>10711.02149441614</v>
      </c>
    </row>
    <row r="19" spans="4:24" ht="16.2" customHeight="1" thickTop="1" thickBot="1" x14ac:dyDescent="0.35">
      <c r="E19" s="86">
        <v>2014</v>
      </c>
      <c r="F19" s="36" t="str">
        <f t="shared" si="4"/>
        <v>FTEs</v>
      </c>
      <c r="G19" s="94">
        <f ca="1"/>
        <v>6579.5356692891164</v>
      </c>
      <c r="H19" s="94">
        <f ca="1"/>
        <v>7875.5118460706535</v>
      </c>
      <c r="I19" s="94">
        <f ca="1"/>
        <v>14791.865902971973</v>
      </c>
      <c r="J19" s="95">
        <f ca="1"/>
        <v>16501.842757462015</v>
      </c>
      <c r="K19" s="95">
        <f ca="1"/>
        <v>17791.632264735475</v>
      </c>
      <c r="L19" s="95">
        <f ca="1"/>
        <v>19077.553697759282</v>
      </c>
      <c r="M19" s="96">
        <f ca="1"/>
        <v>22843.935582387072</v>
      </c>
      <c r="N19" s="96">
        <f ca="1"/>
        <v>27053.854430786625</v>
      </c>
      <c r="O19" s="96">
        <f ca="1"/>
        <v>17275.776591356946</v>
      </c>
      <c r="P19" s="97">
        <f ca="1"/>
        <v>14258.609246365439</v>
      </c>
      <c r="Q19" s="97">
        <f ca="1"/>
        <v>8033.2959294881766</v>
      </c>
      <c r="R19" s="97">
        <f ca="1"/>
        <v>8176.5039648642805</v>
      </c>
      <c r="S19" s="98">
        <f ca="1"/>
        <v>15021.65982362809</v>
      </c>
      <c r="T19" s="38">
        <f t="shared" ca="1" si="5"/>
        <v>-3.6150589781846487E-2</v>
      </c>
      <c r="U19" s="94">
        <f t="shared" ca="1" si="0"/>
        <v>9748.9711394439146</v>
      </c>
      <c r="V19" s="95">
        <f t="shared" ca="1" si="1"/>
        <v>17790.342906652255</v>
      </c>
      <c r="W19" s="96">
        <f t="shared" ca="1" si="2"/>
        <v>22391.18886817688</v>
      </c>
      <c r="X19" s="97">
        <f t="shared" ca="1" si="3"/>
        <v>10156.136380239299</v>
      </c>
    </row>
    <row r="20" spans="4:24" ht="16.2" customHeight="1" thickTop="1" thickBot="1" x14ac:dyDescent="0.35">
      <c r="E20" s="86">
        <v>2015</v>
      </c>
      <c r="F20" s="36" t="str">
        <f t="shared" si="4"/>
        <v>FTEs</v>
      </c>
      <c r="G20" s="94">
        <f ca="1"/>
        <v>6478.0214191011755</v>
      </c>
      <c r="H20" s="94">
        <f ca="1"/>
        <v>7748.6929405421943</v>
      </c>
      <c r="I20" s="94">
        <f ca="1"/>
        <v>15208.171028802457</v>
      </c>
      <c r="J20" s="95">
        <f ca="1"/>
        <v>15659.654447660099</v>
      </c>
      <c r="K20" s="95">
        <f ca="1"/>
        <v>17670.504883770369</v>
      </c>
      <c r="L20" s="95">
        <f ca="1"/>
        <v>18864.608730488202</v>
      </c>
      <c r="M20" s="96">
        <f ca="1"/>
        <v>24148.748491497994</v>
      </c>
      <c r="N20" s="96">
        <f ca="1"/>
        <v>28651.099000532391</v>
      </c>
      <c r="O20" s="96">
        <f ca="1"/>
        <v>16151.854281117654</v>
      </c>
      <c r="P20" s="97">
        <f ca="1"/>
        <v>14729.843173936028</v>
      </c>
      <c r="Q20" s="97">
        <f ca="1"/>
        <v>9526.4017041506268</v>
      </c>
      <c r="R20" s="97">
        <f ca="1"/>
        <v>8076.2651750121431</v>
      </c>
      <c r="S20" s="98">
        <f ca="1"/>
        <v>15242.822106384279</v>
      </c>
      <c r="T20" s="38">
        <f t="shared" ca="1" si="5"/>
        <v>1.4722892500089513E-2</v>
      </c>
      <c r="U20" s="94">
        <f t="shared" ca="1" si="0"/>
        <v>9811.6284628152771</v>
      </c>
      <c r="V20" s="95">
        <f t="shared" ca="1" si="1"/>
        <v>17398.256020639557</v>
      </c>
      <c r="W20" s="96">
        <f t="shared" ca="1" si="2"/>
        <v>22983.900591049347</v>
      </c>
      <c r="X20" s="97">
        <f t="shared" ca="1" si="3"/>
        <v>10777.503351032932</v>
      </c>
    </row>
    <row r="21" spans="4:24" ht="16.2" customHeight="1" thickTop="1" thickBot="1" x14ac:dyDescent="0.35">
      <c r="E21" s="86">
        <v>2016</v>
      </c>
      <c r="F21" s="36" t="str">
        <f t="shared" si="4"/>
        <v>FTEs</v>
      </c>
      <c r="G21" s="94">
        <f ca="1"/>
        <v>6628.4045892055601</v>
      </c>
      <c r="H21" s="94">
        <f ca="1"/>
        <v>8046.5272237347499</v>
      </c>
      <c r="I21" s="94">
        <f ca="1"/>
        <v>18568.967994151484</v>
      </c>
      <c r="J21" s="95">
        <f ca="1"/>
        <v>14954.329944104265</v>
      </c>
      <c r="K21" s="95">
        <f ca="1"/>
        <v>16649.655537720912</v>
      </c>
      <c r="L21" s="95">
        <f ca="1"/>
        <v>19091.157514543556</v>
      </c>
      <c r="M21" s="96">
        <f ca="1"/>
        <v>22557.625077753379</v>
      </c>
      <c r="N21" s="96">
        <f ca="1"/>
        <v>27017.002579322856</v>
      </c>
      <c r="O21" s="96">
        <f ca="1"/>
        <v>17558.111291981921</v>
      </c>
      <c r="P21" s="97">
        <f ca="1"/>
        <v>15493.968300834709</v>
      </c>
      <c r="Q21" s="97">
        <f ca="1"/>
        <v>10763.341938347045</v>
      </c>
      <c r="R21" s="97">
        <f ca="1"/>
        <v>9353.8679252660786</v>
      </c>
      <c r="S21" s="98">
        <f ca="1"/>
        <v>15556.913326413875</v>
      </c>
      <c r="T21" s="38">
        <f t="shared" ca="1" si="5"/>
        <v>2.060584436644719E-2</v>
      </c>
      <c r="U21" s="94">
        <f t="shared" ca="1" si="0"/>
        <v>11081.299935697265</v>
      </c>
      <c r="V21" s="95">
        <f t="shared" ca="1" si="1"/>
        <v>16898.380998789577</v>
      </c>
      <c r="W21" s="96">
        <f t="shared" ca="1" si="2"/>
        <v>22377.579649686053</v>
      </c>
      <c r="X21" s="97">
        <f t="shared" ca="1" si="3"/>
        <v>11870.392721482611</v>
      </c>
    </row>
    <row r="22" spans="4:24" ht="16.2" customHeight="1" thickTop="1" thickBot="1" x14ac:dyDescent="0.35">
      <c r="E22" s="86">
        <v>2017</v>
      </c>
      <c r="F22" s="36" t="str">
        <f t="shared" si="4"/>
        <v>FTEs</v>
      </c>
      <c r="G22" s="94">
        <f ca="1"/>
        <v>7257.3854992310198</v>
      </c>
      <c r="H22" s="94">
        <f ca="1"/>
        <v>8732.9497394377267</v>
      </c>
      <c r="I22" s="94">
        <f ca="1"/>
        <v>16536.892608016951</v>
      </c>
      <c r="J22" s="95">
        <f ca="1"/>
        <v>17053.792075719175</v>
      </c>
      <c r="K22" s="95">
        <f ca="1"/>
        <v>17048.822722617224</v>
      </c>
      <c r="L22" s="95">
        <f ca="1"/>
        <v>20482.649493636225</v>
      </c>
      <c r="M22" s="96">
        <f ca="1"/>
        <v>22036.919757874417</v>
      </c>
      <c r="N22" s="96">
        <f ca="1"/>
        <v>26666.925999261981</v>
      </c>
      <c r="O22" s="96">
        <f ca="1"/>
        <v>17753.764256583723</v>
      </c>
      <c r="P22" s="97">
        <f ca="1"/>
        <v>15429.434213354041</v>
      </c>
      <c r="Q22" s="97">
        <f ca="1"/>
        <v>10659.38793255259</v>
      </c>
      <c r="R22" s="97">
        <f ca="1"/>
        <v>9336.9772621062493</v>
      </c>
      <c r="S22" s="98">
        <f ca="1"/>
        <v>15749.658463365944</v>
      </c>
      <c r="T22" s="38">
        <f t="shared" ca="1" si="5"/>
        <v>1.2389677367734109E-2</v>
      </c>
      <c r="U22" s="94">
        <f t="shared" ca="1" si="0"/>
        <v>10842.409282228566</v>
      </c>
      <c r="V22" s="95">
        <f t="shared" ca="1" si="1"/>
        <v>18195.088097324206</v>
      </c>
      <c r="W22" s="96">
        <f t="shared" ca="1" si="2"/>
        <v>22152.536671240039</v>
      </c>
      <c r="X22" s="97">
        <f t="shared" ca="1" si="3"/>
        <v>11808.599802670962</v>
      </c>
    </row>
    <row r="23" spans="4:24" ht="16.2" customHeight="1" thickTop="1" thickBot="1" x14ac:dyDescent="0.35">
      <c r="E23" s="86">
        <v>2018</v>
      </c>
      <c r="F23" s="36" t="str">
        <f t="shared" si="4"/>
        <v>FTEs</v>
      </c>
      <c r="G23" s="94">
        <f ca="1"/>
        <v>8755.1294880649311</v>
      </c>
      <c r="H23" s="94">
        <f ca="1"/>
        <v>9601.8486157170719</v>
      </c>
      <c r="I23" s="94">
        <f ca="1"/>
        <v>17898.879851348251</v>
      </c>
      <c r="J23" s="95">
        <f ca="1"/>
        <v>17213.382076925063</v>
      </c>
      <c r="K23" s="95">
        <f ca="1"/>
        <v>19676.039058144037</v>
      </c>
      <c r="L23" s="95">
        <f ca="1"/>
        <v>22533.359998906584</v>
      </c>
      <c r="M23" s="96">
        <f ca="1"/>
        <v>23882.485502406278</v>
      </c>
      <c r="N23" s="96">
        <f ca="1"/>
        <v>29871.936079848805</v>
      </c>
      <c r="O23" s="96">
        <f ca="1"/>
        <v>19438.246113452486</v>
      </c>
      <c r="P23" s="97">
        <f ca="1"/>
        <v>17282.103703096851</v>
      </c>
      <c r="Q23" s="97">
        <f ca="1"/>
        <v>11272.018721910628</v>
      </c>
      <c r="R23" s="97">
        <f ca="1"/>
        <v>9137.486845806885</v>
      </c>
      <c r="S23" s="98">
        <f ca="1"/>
        <v>17213.576337968992</v>
      </c>
      <c r="T23" s="38">
        <f t="shared" ca="1" si="5"/>
        <v>9.2949182231992777E-2</v>
      </c>
      <c r="U23" s="94">
        <f t="shared" ca="1" si="0"/>
        <v>12085.285985043418</v>
      </c>
      <c r="V23" s="95">
        <f t="shared" ca="1" si="1"/>
        <v>19807.593711325229</v>
      </c>
      <c r="W23" s="96">
        <f t="shared" ca="1" si="2"/>
        <v>24397.55589856919</v>
      </c>
      <c r="X23" s="97">
        <f t="shared" ca="1" si="3"/>
        <v>12563.869756938124</v>
      </c>
    </row>
    <row r="24" spans="4:24" ht="16.2" customHeight="1" thickTop="1" thickBot="1" x14ac:dyDescent="0.35">
      <c r="E24" s="86">
        <v>2019</v>
      </c>
      <c r="F24" s="36" t="str">
        <f t="shared" si="4"/>
        <v>FTEs</v>
      </c>
      <c r="G24" s="94">
        <f ca="1"/>
        <v>9401.1138752552233</v>
      </c>
      <c r="H24" s="94">
        <f ca="1"/>
        <v>10253.318592827436</v>
      </c>
      <c r="I24" s="94">
        <f ca="1"/>
        <v>19135.466732776582</v>
      </c>
      <c r="J24" s="95">
        <f ca="1"/>
        <v>19317.652514251913</v>
      </c>
      <c r="K24" s="95">
        <f ca="1"/>
        <v>21562.658301131145</v>
      </c>
      <c r="L24" s="95">
        <f ca="1"/>
        <v>22894.704301699163</v>
      </c>
      <c r="M24" s="96">
        <f ca="1"/>
        <v>24768.812685619683</v>
      </c>
      <c r="N24" s="96">
        <f ca="1"/>
        <v>29928.90206219428</v>
      </c>
      <c r="O24" s="96">
        <f ca="1"/>
        <v>20682.222412462881</v>
      </c>
      <c r="P24" s="97">
        <f ca="1"/>
        <v>18251.220682293006</v>
      </c>
      <c r="Q24" s="97">
        <f ca="1"/>
        <v>11602.691733584119</v>
      </c>
      <c r="R24" s="97">
        <f ca="1"/>
        <v>11133.588203061199</v>
      </c>
      <c r="S24" s="98">
        <f ca="1"/>
        <v>18244.362674763051</v>
      </c>
      <c r="T24" s="38">
        <f t="shared" ca="1" si="5"/>
        <v>5.9882171871535661E-2</v>
      </c>
      <c r="U24" s="94">
        <f t="shared" ca="1" si="0"/>
        <v>12929.966400286416</v>
      </c>
      <c r="V24" s="95">
        <f t="shared" ca="1" si="1"/>
        <v>21258.33837236074</v>
      </c>
      <c r="W24" s="96">
        <f t="shared" ca="1" si="2"/>
        <v>25126.645720092285</v>
      </c>
      <c r="X24" s="97">
        <f t="shared" ca="1" si="3"/>
        <v>13662.500206312774</v>
      </c>
    </row>
    <row r="25" spans="4:24" ht="16.2" customHeight="1" thickTop="1" thickBot="1" x14ac:dyDescent="0.35">
      <c r="E25" s="86">
        <v>2020</v>
      </c>
      <c r="F25" s="36" t="str">
        <f t="shared" si="4"/>
        <v>FTEs</v>
      </c>
      <c r="G25" s="94">
        <f ca="1"/>
        <v>8725.4514814116956</v>
      </c>
      <c r="H25" s="94">
        <f ca="1"/>
        <v>9389.6421144756678</v>
      </c>
      <c r="I25" s="94">
        <f ca="1"/>
        <v>13429.717194204397</v>
      </c>
      <c r="J25" s="95">
        <f ca="1"/>
        <v>0</v>
      </c>
      <c r="K25" s="95">
        <f ca="1"/>
        <v>0</v>
      </c>
      <c r="L25" s="95">
        <f ca="1"/>
        <v>1090.3217042324609</v>
      </c>
      <c r="M25" s="96">
        <f ca="1"/>
        <v>10878.523339509884</v>
      </c>
      <c r="N25" s="96">
        <f ca="1"/>
        <v>27137.005412772738</v>
      </c>
      <c r="O25" s="96">
        <f ca="1"/>
        <v>22627.706744687686</v>
      </c>
      <c r="P25" s="97">
        <f ca="1"/>
        <v>12338.284034776141</v>
      </c>
      <c r="Q25" s="97">
        <f ca="1"/>
        <v>5149.9437340591303</v>
      </c>
      <c r="R25" s="97">
        <f ca="1"/>
        <v>4086.751435158903</v>
      </c>
      <c r="S25" s="98">
        <f ca="1"/>
        <v>9571.1122662740581</v>
      </c>
      <c r="T25" s="38">
        <f t="shared" ca="1" si="5"/>
        <v>-0.47539344416160245</v>
      </c>
      <c r="U25" s="94">
        <f t="shared" ca="1" si="0"/>
        <v>10514.936930030586</v>
      </c>
      <c r="V25" s="95">
        <f t="shared" ca="1" si="1"/>
        <v>363.44056807748694</v>
      </c>
      <c r="W25" s="96">
        <f t="shared" ca="1" si="2"/>
        <v>20214.41183232344</v>
      </c>
      <c r="X25" s="97">
        <f t="shared" ca="1" si="3"/>
        <v>7191.6597346647241</v>
      </c>
    </row>
    <row r="26" spans="4:24" ht="16.2" customHeight="1" thickTop="1" thickBot="1" x14ac:dyDescent="0.35">
      <c r="E26" s="86">
        <v>2021</v>
      </c>
      <c r="F26" s="36" t="str">
        <f t="shared" si="4"/>
        <v>FTEs</v>
      </c>
      <c r="G26" s="94">
        <f ca="1"/>
        <v>0</v>
      </c>
      <c r="H26" s="94">
        <f ca="1"/>
        <v>0</v>
      </c>
      <c r="I26" s="94">
        <f ca="1"/>
        <v>2837.66205702144</v>
      </c>
      <c r="J26" s="95">
        <f ca="1"/>
        <v>10316.643545723398</v>
      </c>
      <c r="K26" s="95">
        <f ca="1"/>
        <v>12703.269895451242</v>
      </c>
      <c r="L26" s="95">
        <f ca="1"/>
        <v>22514.966020906526</v>
      </c>
      <c r="M26" s="96">
        <f ca="1"/>
        <v>25561.623560146836</v>
      </c>
      <c r="N26" s="96">
        <f ca="1"/>
        <v>32365.17633165959</v>
      </c>
      <c r="O26" s="96">
        <f ca="1"/>
        <v>26065.966606139722</v>
      </c>
      <c r="P26" s="97">
        <f ca="1"/>
        <v>22412.884072407312</v>
      </c>
      <c r="Q26" s="97">
        <f ca="1"/>
        <v>10203.072334955057</v>
      </c>
      <c r="R26" s="97">
        <f ca="1"/>
        <v>10825.551696360091</v>
      </c>
      <c r="S26" s="98">
        <f ca="1"/>
        <v>14650.568010064269</v>
      </c>
      <c r="T26" s="38">
        <f t="shared" ca="1" si="5"/>
        <v>0.53070694423769349</v>
      </c>
      <c r="U26" s="94">
        <f t="shared" ca="1" si="0"/>
        <v>945.88735234047999</v>
      </c>
      <c r="V26" s="95">
        <f t="shared" ca="1" si="1"/>
        <v>15178.293154027057</v>
      </c>
      <c r="W26" s="96">
        <f t="shared" ca="1" si="2"/>
        <v>27997.588832648715</v>
      </c>
      <c r="X26" s="97">
        <f t="shared" ca="1" si="3"/>
        <v>14480.502701240819</v>
      </c>
    </row>
    <row r="27" spans="4:24" ht="16.2" customHeight="1" thickTop="1" thickBot="1" x14ac:dyDescent="0.35">
      <c r="E27" s="86">
        <v>2022</v>
      </c>
      <c r="F27" s="36" t="str">
        <f t="shared" si="4"/>
        <v>FTEs</v>
      </c>
      <c r="G27" s="94">
        <f ca="1"/>
        <v>9997.1486984767216</v>
      </c>
      <c r="H27" s="94">
        <f ca="1"/>
        <v>12395.650372223936</v>
      </c>
      <c r="I27" s="94">
        <f ca="1"/>
        <v>19527.204758457621</v>
      </c>
      <c r="J27" s="95">
        <f ca="1"/>
        <v>18068.053762026098</v>
      </c>
      <c r="K27" s="95">
        <f ca="1"/>
        <v>19975.444997446422</v>
      </c>
      <c r="L27" s="95">
        <f ca="1"/>
        <v>21914.047501219578</v>
      </c>
      <c r="M27" s="96">
        <f ca="1"/>
        <v>24164.477429457402</v>
      </c>
      <c r="N27" s="96">
        <f ca="1"/>
        <v>26743.172878035679</v>
      </c>
      <c r="O27" s="96">
        <f ca="1"/>
        <v>19688.738715199102</v>
      </c>
      <c r="P27" s="97">
        <f ca="1"/>
        <v>17923.426966572366</v>
      </c>
      <c r="Q27" s="97">
        <f ca="1"/>
        <v>11692.158009632874</v>
      </c>
      <c r="R27" s="97">
        <f ca="1"/>
        <v>10750.031006683594</v>
      </c>
      <c r="S27" s="98">
        <f ca="1"/>
        <v>17736.62959128595</v>
      </c>
      <c r="T27" s="38">
        <f t="shared" ca="1" si="5"/>
        <v>0.21064450054780792</v>
      </c>
      <c r="U27" s="94">
        <f t="shared" ca="1" si="0"/>
        <v>13973.334609719424</v>
      </c>
      <c r="V27" s="95">
        <f t="shared" ca="1" si="1"/>
        <v>19985.848753564034</v>
      </c>
      <c r="W27" s="96">
        <f t="shared" ca="1" si="2"/>
        <v>23532.129674230728</v>
      </c>
      <c r="X27" s="97">
        <f t="shared" ca="1" si="3"/>
        <v>13455.205327629612</v>
      </c>
    </row>
    <row r="28" spans="4:24" ht="16.2" customHeight="1" thickTop="1" thickBot="1" x14ac:dyDescent="0.35">
      <c r="E28" s="867" t="str">
        <f ca="1">$A$1</f>
        <v>EMPLOYMENT</v>
      </c>
      <c r="F28" s="866"/>
      <c r="G28" s="866"/>
      <c r="H28" s="866"/>
      <c r="I28" s="866"/>
      <c r="J28" s="866"/>
      <c r="K28" s="866"/>
      <c r="L28" s="866"/>
      <c r="M28" s="866"/>
      <c r="N28" s="866"/>
      <c r="O28" s="866"/>
      <c r="P28" s="866"/>
      <c r="Q28" s="866"/>
      <c r="R28" s="866"/>
      <c r="S28" s="867" t="str">
        <f>UPPER(TYPE.userselected)</f>
        <v>TOTAL</v>
      </c>
      <c r="T28" s="866"/>
      <c r="U28" s="866"/>
      <c r="V28" s="866"/>
      <c r="W28" s="866"/>
      <c r="X28" s="868"/>
    </row>
    <row r="29" spans="4:24" ht="16.2" customHeight="1" thickTop="1" thickBot="1" x14ac:dyDescent="0.35">
      <c r="D29" s="77" t="str">
        <f t="shared" ref="D29:D35" ca="1" si="6">"'"&amp;$A$1&amp;"'!"&amp;CELL("address",G29)&amp;":"&amp;CELL("address",OFFSET(G29,0,YEARSINREP-1))</f>
        <v>'EMPLOYMENT'!$G$29:$R$29</v>
      </c>
      <c r="E29" s="1042" t="s">
        <v>120</v>
      </c>
      <c r="F29" s="1043"/>
      <c r="G29" s="74">
        <f t="array" ref="G29:R29">TRANSPOSE(REP.yearsrange)</f>
        <v>2011</v>
      </c>
      <c r="H29" s="74">
        <v>2012</v>
      </c>
      <c r="I29" s="75">
        <v>2013</v>
      </c>
      <c r="J29" s="75">
        <v>2014</v>
      </c>
      <c r="K29" s="75">
        <v>2015</v>
      </c>
      <c r="L29" s="75">
        <v>2016</v>
      </c>
      <c r="M29" s="75">
        <v>2017</v>
      </c>
      <c r="N29" s="75">
        <v>2018</v>
      </c>
      <c r="O29" s="75">
        <v>2019</v>
      </c>
      <c r="P29" s="75">
        <v>2020</v>
      </c>
      <c r="Q29" s="75">
        <v>2021</v>
      </c>
      <c r="R29" s="75">
        <v>2022</v>
      </c>
      <c r="S29" s="78"/>
      <c r="T29" s="79"/>
      <c r="U29" s="79"/>
      <c r="V29" s="79"/>
      <c r="W29" s="79"/>
      <c r="X29" s="79"/>
    </row>
    <row r="30" spans="4:24" ht="16.2" customHeight="1" thickTop="1" thickBot="1" x14ac:dyDescent="0.35">
      <c r="D30" s="77" t="str">
        <f t="shared" ca="1" si="6"/>
        <v>'EMPLOYMENT'!$G$30:$R$30</v>
      </c>
      <c r="E30" s="63" t="str">
        <f>IF(TYPE.userselected="SFR",TYPE.userselected,PROPER(VISTYPE.short))</f>
        <v>Total</v>
      </c>
      <c r="F30" s="36" t="str">
        <f>$F$16</f>
        <v>FTEs</v>
      </c>
      <c r="G30" s="91">
        <f t="array" ref="G30:R30" ca="1">EMP.SHARE_VT_ANN</f>
        <v>15905.551021787311</v>
      </c>
      <c r="H30" s="91">
        <f ca="1"/>
        <v>14511.622624979691</v>
      </c>
      <c r="I30" s="91">
        <f ca="1"/>
        <v>15585.069269511876</v>
      </c>
      <c r="J30" s="91">
        <f ca="1"/>
        <v>15021.65982362809</v>
      </c>
      <c r="K30" s="91">
        <f ca="1"/>
        <v>15242.822106384279</v>
      </c>
      <c r="L30" s="91">
        <f ca="1"/>
        <v>15556.913326413875</v>
      </c>
      <c r="M30" s="91">
        <f ca="1"/>
        <v>15749.658463365944</v>
      </c>
      <c r="N30" s="91">
        <f ca="1"/>
        <v>17213.576337968992</v>
      </c>
      <c r="O30" s="91">
        <f ca="1"/>
        <v>18244.362674763051</v>
      </c>
      <c r="P30" s="91">
        <f ca="1"/>
        <v>9571.1122662740581</v>
      </c>
      <c r="Q30" s="91">
        <f ca="1"/>
        <v>14650.568010064269</v>
      </c>
      <c r="R30" s="91">
        <f ca="1"/>
        <v>17736.62959128595</v>
      </c>
      <c r="S30" s="89"/>
      <c r="T30" s="79"/>
      <c r="U30" s="79"/>
      <c r="V30" s="79"/>
      <c r="W30" s="79"/>
      <c r="X30" s="79"/>
    </row>
    <row r="31" spans="4:24" ht="16.2" customHeight="1" thickTop="1" thickBot="1" x14ac:dyDescent="0.35">
      <c r="D31" s="77" t="str">
        <f t="shared" ca="1" si="6"/>
        <v>'EMPLOYMENT'!$G$31:$R$31</v>
      </c>
      <c r="E31" s="63" t="s">
        <v>74</v>
      </c>
      <c r="F31" s="36" t="str">
        <f>$F$16</f>
        <v>FTEs</v>
      </c>
      <c r="G31" s="92">
        <f t="array" aca="1" ref="G31:R31" ca="1">IFERROR(INDEX(DATA!T:T,MATCH(TRANSPOSE(REP.yearsrange)&amp;"."&amp;$A$1&amp;"."&amp;TOTAL,REP.lookup,0)),"")</f>
        <v>15905.551021787311</v>
      </c>
      <c r="H31" s="92">
        <f ca="1"/>
        <v>14511.622624979691</v>
      </c>
      <c r="I31" s="92">
        <f ca="1"/>
        <v>15585.069269511876</v>
      </c>
      <c r="J31" s="92">
        <f ca="1"/>
        <v>15021.65982362809</v>
      </c>
      <c r="K31" s="92">
        <f ca="1"/>
        <v>15242.822106384279</v>
      </c>
      <c r="L31" s="92">
        <f ca="1"/>
        <v>15556.913326413875</v>
      </c>
      <c r="M31" s="92">
        <f ca="1"/>
        <v>15749.658463365944</v>
      </c>
      <c r="N31" s="92">
        <f ca="1"/>
        <v>17213.576337968992</v>
      </c>
      <c r="O31" s="92">
        <f ca="1"/>
        <v>18244.362674763051</v>
      </c>
      <c r="P31" s="92">
        <f ca="1"/>
        <v>9571.1122662740581</v>
      </c>
      <c r="Q31" s="92">
        <f ca="1"/>
        <v>14650.568010064269</v>
      </c>
      <c r="R31" s="92">
        <f ca="1"/>
        <v>17736.62959128595</v>
      </c>
      <c r="S31" s="90"/>
      <c r="T31" s="79"/>
      <c r="U31" s="79"/>
      <c r="V31" s="79"/>
      <c r="W31" s="79"/>
      <c r="X31" s="79"/>
    </row>
    <row r="32" spans="4:24" ht="16.2" customHeight="1" thickTop="1" thickBot="1" x14ac:dyDescent="0.35">
      <c r="D32" s="77" t="str">
        <f t="shared" ca="1" si="6"/>
        <v>'EMPLOYMENT'!$G$32:$R$32</v>
      </c>
      <c r="E32" s="63" t="s">
        <v>121</v>
      </c>
      <c r="F32" s="36" t="s">
        <v>117</v>
      </c>
      <c r="G32" s="72">
        <f t="array" ref="G32:R32" ca="1">IFERROR(EMP.SHARE_VT_ANN/EMP.SHARE_TOTAL_ANN,"")</f>
        <v>1</v>
      </c>
      <c r="H32" s="72">
        <f ca="1"/>
        <v>1</v>
      </c>
      <c r="I32" s="72">
        <f ca="1"/>
        <v>1</v>
      </c>
      <c r="J32" s="72">
        <f ca="1"/>
        <v>1</v>
      </c>
      <c r="K32" s="72">
        <f ca="1"/>
        <v>1</v>
      </c>
      <c r="L32" s="72">
        <f ca="1"/>
        <v>1</v>
      </c>
      <c r="M32" s="72">
        <f ca="1"/>
        <v>1</v>
      </c>
      <c r="N32" s="72">
        <f ca="1"/>
        <v>1</v>
      </c>
      <c r="O32" s="72">
        <f ca="1"/>
        <v>1</v>
      </c>
      <c r="P32" s="72">
        <f ca="1"/>
        <v>1</v>
      </c>
      <c r="Q32" s="72">
        <f ca="1"/>
        <v>1</v>
      </c>
      <c r="R32" s="72">
        <f ca="1"/>
        <v>1</v>
      </c>
      <c r="S32" s="79"/>
      <c r="T32" s="79"/>
      <c r="U32" s="79"/>
      <c r="V32" s="79"/>
      <c r="W32" s="79"/>
      <c r="X32" s="79"/>
    </row>
    <row r="33" spans="4:24" ht="16.2" customHeight="1" thickTop="1" thickBot="1" x14ac:dyDescent="0.35">
      <c r="D33" s="77" t="str">
        <f t="shared" ca="1" si="6"/>
        <v>'EMPLOYMENT'!$G$33:$R$33</v>
      </c>
      <c r="E33" s="63" t="s">
        <v>122</v>
      </c>
      <c r="F33" s="36" t="s">
        <v>117</v>
      </c>
      <c r="G33" s="38"/>
      <c r="H33" s="72">
        <f ca="1">IFERROR(H32/G32-1,"")</f>
        <v>0</v>
      </c>
      <c r="I33" s="72">
        <f t="shared" ref="I33:R33" ca="1" si="7">IFERROR(I32/H32-1,"")</f>
        <v>0</v>
      </c>
      <c r="J33" s="72">
        <f t="shared" ca="1" si="7"/>
        <v>0</v>
      </c>
      <c r="K33" s="72">
        <f t="shared" ca="1" si="7"/>
        <v>0</v>
      </c>
      <c r="L33" s="72">
        <f t="shared" ca="1" si="7"/>
        <v>0</v>
      </c>
      <c r="M33" s="72">
        <f t="shared" ca="1" si="7"/>
        <v>0</v>
      </c>
      <c r="N33" s="72">
        <f t="shared" ca="1" si="7"/>
        <v>0</v>
      </c>
      <c r="O33" s="72">
        <f t="shared" ca="1" si="7"/>
        <v>0</v>
      </c>
      <c r="P33" s="72">
        <f t="shared" ca="1" si="7"/>
        <v>0</v>
      </c>
      <c r="Q33" s="72">
        <f t="shared" ca="1" si="7"/>
        <v>0</v>
      </c>
      <c r="R33" s="72">
        <f t="shared" ca="1" si="7"/>
        <v>0</v>
      </c>
      <c r="S33" s="79"/>
      <c r="T33" s="79"/>
      <c r="U33" s="79"/>
      <c r="V33" s="79"/>
      <c r="W33" s="79"/>
      <c r="X33" s="79"/>
    </row>
    <row r="34" spans="4:24" ht="16.2" customHeight="1" thickTop="1" thickBot="1" x14ac:dyDescent="0.35">
      <c r="D34" s="77" t="str">
        <f t="shared" ca="1" si="6"/>
        <v>'EMPLOYMENT'!$G$34:$R$34</v>
      </c>
      <c r="E34" s="63" t="str">
        <f>"Change in Share from "&amp;MIN(REP.yearsrange)</f>
        <v>Change in Share from 2011</v>
      </c>
      <c r="F34" s="36" t="s">
        <v>117</v>
      </c>
      <c r="G34" s="38"/>
      <c r="H34" s="72">
        <f t="shared" ref="H34:R34" ca="1" si="8">IFERROR(H32/$G$32-1,"")</f>
        <v>0</v>
      </c>
      <c r="I34" s="72">
        <f t="shared" ca="1" si="8"/>
        <v>0</v>
      </c>
      <c r="J34" s="72">
        <f t="shared" ca="1" si="8"/>
        <v>0</v>
      </c>
      <c r="K34" s="72">
        <f t="shared" ca="1" si="8"/>
        <v>0</v>
      </c>
      <c r="L34" s="72">
        <f t="shared" ca="1" si="8"/>
        <v>0</v>
      </c>
      <c r="M34" s="72">
        <f t="shared" ca="1" si="8"/>
        <v>0</v>
      </c>
      <c r="N34" s="72">
        <f t="shared" ca="1" si="8"/>
        <v>0</v>
      </c>
      <c r="O34" s="72">
        <f t="shared" ca="1" si="8"/>
        <v>0</v>
      </c>
      <c r="P34" s="72">
        <f t="shared" ca="1" si="8"/>
        <v>0</v>
      </c>
      <c r="Q34" s="72">
        <f t="shared" ca="1" si="8"/>
        <v>0</v>
      </c>
      <c r="R34" s="72">
        <f t="shared" ca="1" si="8"/>
        <v>0</v>
      </c>
      <c r="S34" s="79"/>
      <c r="T34" s="79"/>
      <c r="U34" s="79"/>
      <c r="V34" s="79"/>
      <c r="W34" s="79"/>
      <c r="X34" s="79"/>
    </row>
    <row r="35" spans="4:24" ht="16.2" customHeight="1" thickTop="1" thickBot="1" x14ac:dyDescent="0.35">
      <c r="D35" s="77" t="str">
        <f t="shared" ca="1" si="6"/>
        <v>'EMPLOYMENT'!$G$35:$R$35</v>
      </c>
      <c r="E35" s="63" t="s">
        <v>146</v>
      </c>
      <c r="F35" s="36" t="s">
        <v>117</v>
      </c>
      <c r="G35" s="38"/>
      <c r="H35" s="72">
        <f ca="1">IFERROR(H34/(H$29-$G$29),"")</f>
        <v>0</v>
      </c>
      <c r="I35" s="72">
        <f t="shared" ref="I35:R35" ca="1" si="9">IFERROR(I34/(I$29-$G$29),"")</f>
        <v>0</v>
      </c>
      <c r="J35" s="72">
        <f t="shared" ca="1" si="9"/>
        <v>0</v>
      </c>
      <c r="K35" s="72">
        <f t="shared" ca="1" si="9"/>
        <v>0</v>
      </c>
      <c r="L35" s="72">
        <f t="shared" ca="1" si="9"/>
        <v>0</v>
      </c>
      <c r="M35" s="72">
        <f t="shared" ca="1" si="9"/>
        <v>0</v>
      </c>
      <c r="N35" s="72">
        <f t="shared" ca="1" si="9"/>
        <v>0</v>
      </c>
      <c r="O35" s="72">
        <f t="shared" ca="1" si="9"/>
        <v>0</v>
      </c>
      <c r="P35" s="72">
        <f t="shared" ca="1" si="9"/>
        <v>0</v>
      </c>
      <c r="Q35" s="72">
        <f t="shared" ca="1" si="9"/>
        <v>0</v>
      </c>
      <c r="R35" s="72">
        <f t="shared" ca="1" si="9"/>
        <v>0</v>
      </c>
      <c r="S35" s="79"/>
      <c r="T35" s="79"/>
      <c r="U35" s="79"/>
      <c r="V35" s="79"/>
      <c r="W35" s="79"/>
      <c r="X35" s="79"/>
    </row>
    <row r="36" spans="4:24" ht="16.2" customHeight="1" thickTop="1" thickBot="1" x14ac:dyDescent="0.35">
      <c r="D36" s="77"/>
      <c r="E36" s="664"/>
      <c r="F36" s="665"/>
      <c r="G36" s="38"/>
      <c r="H36" s="72"/>
      <c r="I36" s="72"/>
      <c r="J36" s="72"/>
      <c r="K36" s="72"/>
      <c r="L36" s="72"/>
      <c r="M36" s="72"/>
      <c r="N36" s="72"/>
      <c r="O36" s="72"/>
      <c r="P36" s="72"/>
      <c r="Q36" s="72"/>
      <c r="R36" s="72"/>
      <c r="S36" s="79"/>
      <c r="T36" s="79"/>
      <c r="U36" s="79"/>
      <c r="V36" s="79"/>
      <c r="W36" s="79"/>
      <c r="X36" s="79"/>
    </row>
    <row r="37" spans="4:24" ht="16.2" customHeight="1" thickTop="1" thickBot="1" x14ac:dyDescent="0.35">
      <c r="E37" s="87" t="str">
        <f>IF(COUNT(REP.yearsrange)&lt;MAX(REP.yearnos),"Note: This report caters for a period of up to 12 years. Parts of this page are intentionally left blank to accommodate new data as it becomes available.","")</f>
        <v/>
      </c>
      <c r="F37" s="85"/>
      <c r="G37" s="85"/>
      <c r="H37" s="85"/>
      <c r="I37" s="85"/>
      <c r="J37" s="85"/>
      <c r="K37" s="85"/>
      <c r="L37" s="85"/>
      <c r="M37" s="85"/>
      <c r="N37" s="85"/>
      <c r="O37" s="85"/>
      <c r="P37" s="85"/>
      <c r="Q37" s="85"/>
      <c r="R37" s="85"/>
      <c r="S37" s="79"/>
      <c r="T37" s="79"/>
      <c r="U37" s="79"/>
      <c r="V37" s="79"/>
      <c r="W37" s="79"/>
      <c r="X37" s="79"/>
    </row>
    <row r="38" spans="4:24" s="42" customFormat="1" ht="16.2" customHeight="1" thickTop="1" thickBot="1" x14ac:dyDescent="0.2">
      <c r="D38" s="41"/>
      <c r="E38" s="62" t="str">
        <f>REP.footer1</f>
        <v>This report is copyright © Global Tourism Solutions (UK) Ltd 2023</v>
      </c>
      <c r="F38" s="56"/>
      <c r="G38" s="56"/>
      <c r="H38" s="56"/>
      <c r="I38" s="56"/>
      <c r="J38" s="56"/>
      <c r="K38" s="56"/>
      <c r="L38" s="56"/>
      <c r="M38" s="56"/>
      <c r="N38" s="56"/>
      <c r="O38" s="56"/>
      <c r="P38" s="56"/>
      <c r="Q38" s="56"/>
      <c r="R38" s="56"/>
      <c r="S38" s="56"/>
      <c r="T38" s="56"/>
      <c r="U38" s="56"/>
      <c r="V38" s="56"/>
      <c r="W38" s="56"/>
      <c r="X38" s="61" t="str">
        <f>REP.footer2</f>
        <v>Report Prepared by: Cathy James. Date of Issue: 14/08/23</v>
      </c>
    </row>
    <row r="39" spans="4:24" ht="16.2" customHeight="1" thickTop="1" x14ac:dyDescent="0.3"/>
    <row r="40" spans="4:24" ht="16.2" customHeight="1" x14ac:dyDescent="0.3">
      <c r="G40" s="76"/>
      <c r="H40" s="76"/>
      <c r="I40" s="76"/>
      <c r="J40" s="76"/>
      <c r="K40" s="76"/>
      <c r="L40" s="76"/>
      <c r="M40" s="76"/>
      <c r="N40" s="76"/>
      <c r="O40" s="76"/>
      <c r="P40" s="76"/>
      <c r="Q40" s="76"/>
      <c r="R40" s="76"/>
      <c r="S40" s="76"/>
      <c r="T40" s="76"/>
      <c r="U40" s="76"/>
      <c r="V40" s="76"/>
    </row>
    <row r="41" spans="4:24" ht="16.2" customHeight="1" x14ac:dyDescent="0.3">
      <c r="G41" s="76"/>
      <c r="H41" s="76"/>
      <c r="I41" s="76"/>
      <c r="J41" s="76"/>
      <c r="K41" s="76"/>
      <c r="L41" s="76"/>
      <c r="M41" s="76"/>
      <c r="N41" s="76"/>
      <c r="O41" s="76"/>
      <c r="P41" s="76"/>
      <c r="Q41" s="76"/>
      <c r="R41" s="76"/>
      <c r="S41" s="76"/>
      <c r="T41" s="76"/>
      <c r="U41" s="76"/>
      <c r="V41" s="76"/>
    </row>
    <row r="70" spans="7:23" ht="16.2" customHeight="1" x14ac:dyDescent="0.3">
      <c r="G70" s="39" t="s">
        <v>43</v>
      </c>
      <c r="H70" s="39" t="s">
        <v>43</v>
      </c>
      <c r="J70" s="39" t="s">
        <v>48</v>
      </c>
      <c r="K70" s="39" t="s">
        <v>48</v>
      </c>
      <c r="M70" s="39" t="s">
        <v>18</v>
      </c>
      <c r="N70" s="39" t="s">
        <v>18</v>
      </c>
      <c r="P70" s="39" t="s">
        <v>95</v>
      </c>
      <c r="S70" s="39" t="s">
        <v>71</v>
      </c>
      <c r="T70" s="39" t="s">
        <v>71</v>
      </c>
      <c r="V70" s="39" t="s">
        <v>54</v>
      </c>
      <c r="W70" s="39" t="s">
        <v>54</v>
      </c>
    </row>
  </sheetData>
  <sheetProtection algorithmName="SHA-512" hashValue="AxXE7lSmsNYl/3JyGa9VcjLOPGod8JoVHMEI0GDSgP4P/tvXM/9IER2LfEPsJgBs7cKEhn+VlDRngVkHfTOMIQ==" saltValue="cgzGA6F7OUVZsXkDE0j0mA==" spinCount="100000" sheet="1" objects="1" scenarios="1"/>
  <mergeCells count="26">
    <mergeCell ref="E15:F15"/>
    <mergeCell ref="S6:T7"/>
    <mergeCell ref="U6:X7"/>
    <mergeCell ref="E8:F8"/>
    <mergeCell ref="G8:R8"/>
    <mergeCell ref="S8:T9"/>
    <mergeCell ref="U8:X11"/>
    <mergeCell ref="E9:F9"/>
    <mergeCell ref="G9:R9"/>
    <mergeCell ref="P6:R7"/>
    <mergeCell ref="E28:R28"/>
    <mergeCell ref="S28:X28"/>
    <mergeCell ref="E29:F29"/>
    <mergeCell ref="E10:F10"/>
    <mergeCell ref="G10:R10"/>
    <mergeCell ref="S10:S12"/>
    <mergeCell ref="T10:T12"/>
    <mergeCell ref="E11:F11"/>
    <mergeCell ref="G11:I11"/>
    <mergeCell ref="J11:L11"/>
    <mergeCell ref="M11:O11"/>
    <mergeCell ref="P11:R11"/>
    <mergeCell ref="E12:F12"/>
    <mergeCell ref="E13:F13"/>
    <mergeCell ref="T13:T16"/>
    <mergeCell ref="E14:F14"/>
  </mergeCells>
  <conditionalFormatting sqref="E16:X27">
    <cfRule type="expression" dxfId="57" priority="26">
      <formula>$E16=0</formula>
    </cfRule>
  </conditionalFormatting>
  <conditionalFormatting sqref="F30:F36">
    <cfRule type="expression" dxfId="56" priority="40">
      <formula>$E30=0</formula>
    </cfRule>
  </conditionalFormatting>
  <conditionalFormatting sqref="G9:R9">
    <cfRule type="expression" dxfId="55" priority="15">
      <formula>TYPE.no=4</formula>
    </cfRule>
    <cfRule type="expression" dxfId="54" priority="16">
      <formula>TYPE.no=3</formula>
    </cfRule>
    <cfRule type="expression" dxfId="53" priority="17">
      <formula>TYPE.no=2</formula>
    </cfRule>
    <cfRule type="expression" dxfId="52" priority="18">
      <formula>TYPE.no=1</formula>
    </cfRule>
    <cfRule type="expression" dxfId="51" priority="13">
      <formula>TYPE.no=6</formula>
    </cfRule>
    <cfRule type="expression" dxfId="50" priority="14">
      <formula>TYPE.no=5</formula>
    </cfRule>
  </conditionalFormatting>
  <conditionalFormatting sqref="G30:R34 H35:R36">
    <cfRule type="expression" dxfId="49" priority="33" stopIfTrue="1">
      <formula>G$29=0</formula>
    </cfRule>
  </conditionalFormatting>
  <conditionalFormatting sqref="G33:R34">
    <cfRule type="cellIs" dxfId="48" priority="36" operator="lessThanOrEqual">
      <formula>-REP.percenthighlight</formula>
    </cfRule>
    <cfRule type="cellIs" dxfId="47" priority="37" operator="greaterThanOrEqual">
      <formula>REP.percenthighlight</formula>
    </cfRule>
  </conditionalFormatting>
  <conditionalFormatting sqref="G13:S15">
    <cfRule type="expression" priority="4" stopIfTrue="1">
      <formula>G13=""</formula>
    </cfRule>
    <cfRule type="cellIs" dxfId="46" priority="5" operator="lessThanOrEqual">
      <formula>-REP.percenthighlight</formula>
    </cfRule>
    <cfRule type="cellIs" dxfId="45" priority="6" operator="greaterThanOrEqual">
      <formula>REP.percenthighlight</formula>
    </cfRule>
  </conditionalFormatting>
  <conditionalFormatting sqref="H35:R36">
    <cfRule type="cellIs" dxfId="44" priority="34" operator="lessThanOrEqual">
      <formula>-REP.percenthighlight</formula>
    </cfRule>
    <cfRule type="cellIs" dxfId="43" priority="35" operator="greaterThanOrEqual">
      <formula>REP.percenthighlight</formula>
    </cfRule>
  </conditionalFormatting>
  <conditionalFormatting sqref="I29:R29">
    <cfRule type="expression" dxfId="42" priority="38">
      <formula>I29=0</formula>
    </cfRule>
  </conditionalFormatting>
  <conditionalFormatting sqref="S6:T7">
    <cfRule type="expression" dxfId="41" priority="19">
      <formula>TYPE.no=6</formula>
    </cfRule>
    <cfRule type="expression" dxfId="40" priority="20">
      <formula>TYPE.no=5</formula>
    </cfRule>
    <cfRule type="expression" dxfId="39" priority="21">
      <formula>TYPE.no=4</formula>
    </cfRule>
    <cfRule type="expression" dxfId="38" priority="22">
      <formula>TYPE.no=3</formula>
    </cfRule>
    <cfRule type="expression" dxfId="37" priority="23">
      <formula>TYPE.no=2</formula>
    </cfRule>
    <cfRule type="expression" dxfId="36" priority="24">
      <formula>TYPE.no=1</formula>
    </cfRule>
  </conditionalFormatting>
  <conditionalFormatting sqref="S28:X28">
    <cfRule type="expression" dxfId="35" priority="7">
      <formula>TYPE.no=6</formula>
    </cfRule>
    <cfRule type="expression" dxfId="34" priority="8">
      <formula>TYPE.no=5</formula>
    </cfRule>
    <cfRule type="expression" dxfId="33" priority="9">
      <formula>TYPE.no=4</formula>
    </cfRule>
    <cfRule type="expression" dxfId="32" priority="10">
      <formula>TYPE.no=3</formula>
    </cfRule>
    <cfRule type="expression" dxfId="31" priority="11">
      <formula>TYPE.no=2</formula>
    </cfRule>
    <cfRule type="expression" dxfId="30" priority="12">
      <formula>TYPE.no=1</formula>
    </cfRule>
  </conditionalFormatting>
  <conditionalFormatting sqref="T17:T27">
    <cfRule type="cellIs" dxfId="29" priority="31" operator="greaterThanOrEqual">
      <formula>REP.percenthighlight</formula>
    </cfRule>
    <cfRule type="cellIs" dxfId="28" priority="32" operator="lessThanOrEqual">
      <formula>-REP.percenthighlight</formula>
    </cfRule>
  </conditionalFormatting>
  <conditionalFormatting sqref="U13:X15">
    <cfRule type="cellIs" dxfId="27" priority="2" operator="lessThanOrEqual">
      <formula>-REP.percenthighlight</formula>
    </cfRule>
    <cfRule type="cellIs" dxfId="26" priority="3" operator="greaterThanOrEqual">
      <formula>REP.percenthighlight</formula>
    </cfRule>
    <cfRule type="expression" priority="1" stopIfTrue="1">
      <formula>U13=""</formula>
    </cfRule>
  </conditionalFormatting>
  <printOptions horizontalCentered="1" verticalCentered="1"/>
  <pageMargins left="0.70866141732283472" right="0.70866141732283472" top="0.74803149606299213" bottom="0.74803149606299213" header="0.31496062992125984" footer="0.31496062992125984"/>
  <pageSetup paperSize="9" scale="98"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119811" r:id="rId4" name="Drop Down 3">
              <controlPr defaultSize="0" autoLine="0" autoPict="0">
                <anchor moveWithCells="1">
                  <from>
                    <xdr:col>21</xdr:col>
                    <xdr:colOff>175260</xdr:colOff>
                    <xdr:row>4</xdr:row>
                    <xdr:rowOff>22860</xdr:rowOff>
                  </from>
                  <to>
                    <xdr:col>22</xdr:col>
                    <xdr:colOff>259080</xdr:colOff>
                    <xdr:row>4</xdr:row>
                    <xdr:rowOff>297180</xdr:rowOff>
                  </to>
                </anchor>
              </controlPr>
            </control>
          </mc:Choice>
        </mc:AlternateContent>
        <mc:AlternateContent xmlns:mc="http://schemas.openxmlformats.org/markup-compatibility/2006">
          <mc:Choice Requires="x14">
            <control shapeId="119812" r:id="rId5" name="Drop Down 4">
              <controlPr defaultSize="0" autoLine="0" autoPict="0">
                <anchor moveWithCells="1">
                  <from>
                    <xdr:col>9</xdr:col>
                    <xdr:colOff>175260</xdr:colOff>
                    <xdr:row>4</xdr:row>
                    <xdr:rowOff>22860</xdr:rowOff>
                  </from>
                  <to>
                    <xdr:col>13</xdr:col>
                    <xdr:colOff>144780</xdr:colOff>
                    <xdr:row>4</xdr:row>
                    <xdr:rowOff>297180</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Output10">
    <tabColor theme="6" tint="-0.499984740745262"/>
    <outlinePr showOutlineSymbols="0"/>
    <pageSetUpPr autoPageBreaks="0" fitToPage="1"/>
  </sheetPr>
  <dimension ref="A1:AB70"/>
  <sheetViews>
    <sheetView showGridLines="0" showRowColHeaders="0" showOutlineSymbols="0" topLeftCell="A2" zoomScaleNormal="100" workbookViewId="0">
      <pane ySplit="6" topLeftCell="A8" activePane="bottomLeft" state="frozen"/>
      <selection activeCell="M48" sqref="M48"/>
      <selection pane="bottomLeft" activeCell="Z22" sqref="Z22"/>
    </sheetView>
  </sheetViews>
  <sheetFormatPr defaultColWidth="4.88671875" defaultRowHeight="16.2" customHeight="1" x14ac:dyDescent="0.3"/>
  <cols>
    <col min="1" max="3" width="4.88671875" style="111"/>
    <col min="4" max="4" width="4.88671875" style="112"/>
    <col min="5" max="5" width="19.5546875" style="111" customWidth="1"/>
    <col min="6" max="6" width="5.109375" style="111" customWidth="1"/>
    <col min="7" max="24" width="7.33203125" style="111" customWidth="1"/>
    <col min="25" max="25" width="7.109375" style="111" bestFit="1" customWidth="1"/>
    <col min="26" max="26" width="8.44140625" style="111" bestFit="1" customWidth="1"/>
    <col min="27" max="27" width="5.6640625" style="111" customWidth="1"/>
    <col min="28" max="28" width="7.6640625" style="111" customWidth="1"/>
    <col min="29" max="16384" width="4.88671875" style="111"/>
  </cols>
  <sheetData>
    <row r="1" spans="1:28" ht="16.2" hidden="1" customHeight="1" thickTop="1" thickBot="1" x14ac:dyDescent="0.35">
      <c r="A1" s="110" t="str">
        <f ca="1">MID(CELL("filename",A1),FIND("]",CELL("filename",A1))+1,255)</f>
        <v>ACCOMMODATION SUPPLY</v>
      </c>
      <c r="E1" s="113"/>
      <c r="F1" s="114"/>
      <c r="G1" s="114"/>
      <c r="H1" s="114"/>
      <c r="I1" s="114"/>
      <c r="J1" s="114"/>
      <c r="K1" s="114"/>
      <c r="L1" s="114"/>
      <c r="M1" s="114"/>
      <c r="N1" s="114"/>
      <c r="O1" s="114"/>
      <c r="P1" s="114"/>
      <c r="Q1" s="114"/>
      <c r="R1" s="114"/>
      <c r="S1" s="114"/>
      <c r="T1" s="114"/>
      <c r="U1" s="114"/>
      <c r="V1" s="114"/>
      <c r="W1" s="114"/>
      <c r="X1" s="115"/>
    </row>
    <row r="2" spans="1:28" ht="16.2" customHeight="1" thickTop="1" x14ac:dyDescent="0.3">
      <c r="E2" s="116"/>
      <c r="F2" s="117"/>
      <c r="G2" s="117"/>
      <c r="H2" s="117"/>
      <c r="I2" s="117"/>
      <c r="J2" s="117"/>
      <c r="K2" s="117"/>
      <c r="L2" s="117"/>
      <c r="M2" s="117"/>
      <c r="N2" s="117"/>
      <c r="O2" s="117"/>
      <c r="P2" s="117"/>
      <c r="Q2" s="117"/>
      <c r="R2" s="117"/>
      <c r="S2" s="117"/>
      <c r="T2" s="117"/>
      <c r="U2" s="117"/>
      <c r="V2" s="117"/>
      <c r="W2" s="117"/>
      <c r="X2" s="118"/>
    </row>
    <row r="3" spans="1:28" ht="26.4" customHeight="1" x14ac:dyDescent="0.3">
      <c r="E3" s="119"/>
      <c r="F3" s="120"/>
      <c r="G3" s="120"/>
      <c r="H3" s="120"/>
      <c r="I3" s="120"/>
      <c r="J3" s="120"/>
      <c r="K3" s="120"/>
      <c r="L3" s="120"/>
      <c r="M3" s="120"/>
      <c r="N3" s="120"/>
      <c r="O3" s="120"/>
      <c r="P3" s="120"/>
      <c r="Q3" s="120"/>
      <c r="R3" s="120"/>
      <c r="S3" s="120"/>
      <c r="T3" s="120"/>
      <c r="U3" s="120"/>
      <c r="V3" s="120"/>
      <c r="W3" s="120"/>
      <c r="X3" s="121"/>
    </row>
    <row r="4" spans="1:28" ht="26.4" customHeight="1" x14ac:dyDescent="0.3">
      <c r="E4" s="204"/>
      <c r="F4" s="205"/>
      <c r="G4" s="205"/>
      <c r="H4" s="205"/>
      <c r="I4" s="205"/>
      <c r="J4" s="205"/>
      <c r="K4" s="205"/>
      <c r="L4" s="205"/>
      <c r="M4" s="205"/>
      <c r="N4" s="205"/>
      <c r="O4" s="205"/>
      <c r="P4" s="205"/>
      <c r="Q4" s="205"/>
      <c r="R4" s="205"/>
      <c r="S4" s="205"/>
      <c r="T4" s="205"/>
      <c r="U4" s="205"/>
      <c r="V4" s="205"/>
      <c r="W4" s="205"/>
      <c r="X4" s="206"/>
    </row>
    <row r="5" spans="1:28" ht="26.4" customHeight="1" thickBot="1" x14ac:dyDescent="0.35">
      <c r="E5" s="207"/>
      <c r="F5" s="208"/>
      <c r="G5" s="208"/>
      <c r="H5" s="208"/>
      <c r="I5" s="208"/>
      <c r="J5" s="208"/>
      <c r="K5" s="208"/>
      <c r="L5" s="208"/>
      <c r="M5" s="406" t="str">
        <f>"INDEXATION TO "&amp;MAX(REP.yearsrange)&amp;" PRICES"</f>
        <v>INDEXATION TO 2022 PRICES</v>
      </c>
      <c r="N5" s="208"/>
      <c r="O5" s="208"/>
      <c r="P5" s="208"/>
      <c r="Q5" s="208"/>
      <c r="R5" s="208"/>
      <c r="S5" s="208"/>
      <c r="T5" s="208"/>
      <c r="U5" s="208"/>
      <c r="V5" s="208"/>
      <c r="W5" s="208"/>
      <c r="X5" s="209"/>
    </row>
    <row r="6" spans="1:28" ht="16.2" customHeight="1" thickTop="1" x14ac:dyDescent="0.3">
      <c r="E6" s="531" t="str">
        <f>REP.title1</f>
        <v>STEAM FINAL TREND REPORT FOR 2011-2022</v>
      </c>
      <c r="F6" s="532"/>
      <c r="G6" s="532"/>
      <c r="H6" s="532"/>
      <c r="I6" s="532"/>
      <c r="J6" s="532"/>
      <c r="K6" s="532"/>
      <c r="L6" s="532"/>
      <c r="M6" s="532"/>
      <c r="N6" s="708"/>
      <c r="O6" s="1097">
        <f>CHARTYEAR</f>
        <v>2022</v>
      </c>
      <c r="P6" s="1098"/>
      <c r="Q6" s="1098"/>
      <c r="R6" s="1099"/>
      <c r="S6" s="1103" t="s">
        <v>173</v>
      </c>
      <c r="T6" s="1104"/>
      <c r="U6" s="1107" t="str">
        <f>"ACCOMMODATION SUPPLY"&amp;CHAR(10)&amp;"DISTRIBUTION BY TYPE"</f>
        <v>ACCOMMODATION SUPPLY
DISTRIBUTION BY TYPE</v>
      </c>
      <c r="V6" s="1108"/>
      <c r="W6" s="1108"/>
      <c r="X6" s="1109"/>
    </row>
    <row r="7" spans="1:28" ht="16.2" customHeight="1" thickBot="1" x14ac:dyDescent="0.35">
      <c r="E7" s="533" t="str">
        <f>REP.title2</f>
        <v>GWYNEDD COUNCIL</v>
      </c>
      <c r="F7" s="534"/>
      <c r="G7" s="534"/>
      <c r="H7" s="534"/>
      <c r="I7" s="535"/>
      <c r="J7" s="535"/>
      <c r="K7" s="535"/>
      <c r="L7" s="535"/>
      <c r="M7" s="535"/>
      <c r="N7" s="709"/>
      <c r="O7" s="1100"/>
      <c r="P7" s="1101"/>
      <c r="Q7" s="1101"/>
      <c r="R7" s="1102"/>
      <c r="S7" s="1105"/>
      <c r="T7" s="1106"/>
      <c r="U7" s="1110"/>
      <c r="V7" s="1111"/>
      <c r="W7" s="1111"/>
      <c r="X7" s="1112"/>
    </row>
    <row r="8" spans="1:28" ht="16.2" customHeight="1" thickTop="1" thickBot="1" x14ac:dyDescent="0.35">
      <c r="E8" s="1115" t="str">
        <f>"SERVICED ACCOMMODATION "&amp;CHAR(10)&amp;CHARTYEAR</f>
        <v>SERVICED ACCOMMODATION 
2022</v>
      </c>
      <c r="F8" s="1116"/>
      <c r="G8" s="1116"/>
      <c r="H8" s="1116"/>
      <c r="I8" s="1126">
        <f>CHARTYEAR</f>
        <v>2022</v>
      </c>
      <c r="J8" s="1127"/>
      <c r="K8" s="1119" t="str">
        <f>IF(CHARTYEAR=INDEX(REP.yearsrange,1),"","Change on "&amp;INDEX(REP.yearsrange,MATCH(CHARTYEAR,REP.yearsrange,0)-1))</f>
        <v>Change on 2021</v>
      </c>
      <c r="L8" s="1120"/>
      <c r="M8" s="1113" t="str">
        <f>IF(OR(CHARTYEAR=INDEX(REP.yearsrange,1),CHARTYEAR=INDEX(REP.yearsrange,2)),"","Change on "&amp;INDEX(REP.yearsrange,1))</f>
        <v>Change on 2011</v>
      </c>
      <c r="N8" s="1121"/>
      <c r="O8" s="1128"/>
      <c r="P8" s="1128"/>
      <c r="Q8" s="1128"/>
      <c r="R8" s="1128"/>
      <c r="S8" s="1128"/>
      <c r="T8" s="1128"/>
      <c r="U8" s="1128"/>
      <c r="V8" s="1128"/>
      <c r="W8" s="1128"/>
      <c r="X8" s="1129"/>
      <c r="Y8" s="240"/>
    </row>
    <row r="9" spans="1:28" s="125" customFormat="1" ht="16.2" customHeight="1" thickTop="1" thickBot="1" x14ac:dyDescent="0.35">
      <c r="E9" s="1117"/>
      <c r="F9" s="1118"/>
      <c r="G9" s="1118"/>
      <c r="H9" s="1118"/>
      <c r="I9" s="717" t="s">
        <v>175</v>
      </c>
      <c r="J9" s="718" t="s">
        <v>176</v>
      </c>
      <c r="K9" s="232" t="str">
        <f>IF(K8="","",I9)</f>
        <v>Est.</v>
      </c>
      <c r="L9" s="723" t="str">
        <f>IF(K8="","",J9)</f>
        <v>Beds</v>
      </c>
      <c r="M9" s="724" t="str">
        <f>IF(M8="","",I9)</f>
        <v>Est.</v>
      </c>
      <c r="N9" s="753" t="str">
        <f>IF(M8="","",J9)</f>
        <v>Beds</v>
      </c>
      <c r="O9" s="1130"/>
      <c r="P9" s="1130"/>
      <c r="Q9" s="1130"/>
      <c r="R9" s="1130"/>
      <c r="S9" s="1130"/>
      <c r="T9" s="1130"/>
      <c r="U9" s="1130"/>
      <c r="V9" s="1130"/>
      <c r="W9" s="1130"/>
      <c r="X9" s="1131"/>
      <c r="Y9" s="485"/>
    </row>
    <row r="10" spans="1:28" s="125" customFormat="1" ht="16.2" customHeight="1" thickTop="1" thickBot="1" x14ac:dyDescent="0.35">
      <c r="E10" s="726" t="s">
        <v>161</v>
      </c>
      <c r="F10" s="727"/>
      <c r="G10" s="728"/>
      <c r="H10" s="729"/>
      <c r="I10" s="741">
        <f t="array" ref="I10:I15">IFERROR(INDEX(DATA!$T:$T,MATCH(CHARTYEAR&amp;".Accommodation - Establishments.Serviced Accommodation "&amp;{"Total";"1";"2";"3";"4";"5"},REP.lookup,0)),"")</f>
        <v>345</v>
      </c>
      <c r="J10" s="741">
        <f t="array" ref="J10:J15">IFERROR(INDEX(DATA!$T:$T,MATCH(CHARTYEAR&amp;".Accommodation - Bed Spaces.Serviced Accommodation "&amp;{"Total";"1";"2";"3";"4";"5"},REP.lookup,0)),"")</f>
        <v>6376</v>
      </c>
      <c r="K10" s="754">
        <f t="array" ref="K10:K15">IFERROR(IF(K$9="","",I10:I15-INDEX(DATA!$T:$T,MATCH(CHARTYEAR-1&amp;".Accommodation - Establishments.Serviced Accommodation "&amp;{"Total";"1";"2";"3";"4";"5"},REP.lookup,0))),"")</f>
        <v>0</v>
      </c>
      <c r="L10" s="754">
        <f t="array" ref="L10:L15">IFERROR(IF(L$9="","",J10:J15-INDEX(DATA!$T:$T,MATCH(CHARTYEAR-1&amp;".Accommodation - Bed Spaces.Serviced Accommodation "&amp;{"Total";"1";"2";"3";"4";"5"},REP.lookup,0))),"")</f>
        <v>0</v>
      </c>
      <c r="M10" s="754">
        <f t="array" ref="M10:M15">IFERROR(IF(M$9="","",I10:I15-INDEX(DATA!$T:$T,MATCH(INDEX(REP.yearsrange,1)&amp;".Accommodation - Establishments.Serviced Accommodation "&amp;{"Total";"1";"2";"3";"4";"5"},REP.lookup,0))),"")</f>
        <v>-298</v>
      </c>
      <c r="N10" s="754">
        <f t="array" ref="N10:N15">IFERROR(IF(N$9="","",J10:J15-INDEX(DATA!$T:$T,MATCH(INDEX(REP.yearsrange,1)&amp;".Accommodation - Bed Spaces.Serviced Accommodation "&amp;{"Total";"1";"2";"3";"4";"5"},REP.lookup,0))),"")</f>
        <v>-3202</v>
      </c>
      <c r="O10" s="734"/>
      <c r="P10" s="421"/>
      <c r="Q10" s="421"/>
      <c r="R10" s="421"/>
      <c r="S10" s="421"/>
      <c r="T10" s="421"/>
      <c r="U10" s="421"/>
      <c r="V10" s="421"/>
      <c r="W10" s="421"/>
      <c r="X10" s="735"/>
      <c r="Y10" s="485"/>
      <c r="Z10" s="485"/>
      <c r="AA10" s="484"/>
      <c r="AB10" s="483"/>
    </row>
    <row r="11" spans="1:28" s="125" customFormat="1" ht="16.2" customHeight="1" thickTop="1" thickBot="1" x14ac:dyDescent="0.35">
      <c r="E11" s="695" t="str">
        <f t="array" ref="E11:E15">IFERROR(IF(AVERAGE(I11:I15,K11:K15,M11:M15)&lt;&gt;0,INDEX(DATA!$G:$G,MATCH(CHARTYEAR&amp;".Accommodation - Establishments.Serviced Accommodation "&amp;{"1";"2";"3";"4";"5"},REP.lookup,0)),""),"")</f>
        <v>+50 room hotels</v>
      </c>
      <c r="F11" s="706"/>
      <c r="G11" s="696"/>
      <c r="H11" s="696"/>
      <c r="I11" s="743">
        <v>12</v>
      </c>
      <c r="J11" s="744">
        <v>1823</v>
      </c>
      <c r="K11" s="755">
        <v>0</v>
      </c>
      <c r="L11" s="755">
        <v>0</v>
      </c>
      <c r="M11" s="755">
        <v>4</v>
      </c>
      <c r="N11" s="756">
        <v>129</v>
      </c>
      <c r="O11" s="734"/>
      <c r="P11" s="421"/>
      <c r="Q11" s="421"/>
      <c r="R11" s="421"/>
      <c r="S11" s="421"/>
      <c r="T11" s="421"/>
      <c r="U11" s="421"/>
      <c r="V11" s="421"/>
      <c r="W11" s="421"/>
      <c r="X11" s="735"/>
      <c r="Y11" s="485"/>
      <c r="Z11" s="485"/>
      <c r="AA11" s="484"/>
      <c r="AB11" s="483"/>
    </row>
    <row r="12" spans="1:28" ht="16.2" customHeight="1" thickBot="1" x14ac:dyDescent="0.35">
      <c r="E12" s="695" t="str">
        <v>10-50 room hotels</v>
      </c>
      <c r="F12" s="706"/>
      <c r="G12" s="696"/>
      <c r="H12" s="696"/>
      <c r="I12" s="745">
        <v>48</v>
      </c>
      <c r="J12" s="746">
        <v>1770</v>
      </c>
      <c r="K12" s="757">
        <v>0</v>
      </c>
      <c r="L12" s="757">
        <v>0</v>
      </c>
      <c r="M12" s="757">
        <v>-23</v>
      </c>
      <c r="N12" s="758">
        <v>-1136</v>
      </c>
      <c r="O12" s="151"/>
      <c r="P12" s="152"/>
      <c r="Q12" s="152"/>
      <c r="R12" s="152"/>
      <c r="S12" s="152"/>
      <c r="T12" s="152"/>
      <c r="U12" s="152"/>
      <c r="V12" s="152"/>
      <c r="W12" s="152"/>
      <c r="X12" s="736"/>
      <c r="Y12" s="240"/>
      <c r="Z12" s="485"/>
      <c r="AA12" s="484"/>
      <c r="AB12" s="483"/>
    </row>
    <row r="13" spans="1:28" ht="16.2" customHeight="1" thickBot="1" x14ac:dyDescent="0.35">
      <c r="E13" s="695" t="str">
        <v>&lt;10 room hotels/others</v>
      </c>
      <c r="F13" s="706"/>
      <c r="G13" s="696"/>
      <c r="H13" s="696"/>
      <c r="I13" s="745">
        <v>285</v>
      </c>
      <c r="J13" s="746">
        <v>2783</v>
      </c>
      <c r="K13" s="757">
        <v>0</v>
      </c>
      <c r="L13" s="757">
        <v>0</v>
      </c>
      <c r="M13" s="757">
        <v>-279</v>
      </c>
      <c r="N13" s="758">
        <v>-2195</v>
      </c>
      <c r="O13" s="151"/>
      <c r="P13" s="152"/>
      <c r="Q13" s="152"/>
      <c r="R13" s="152"/>
      <c r="S13" s="152"/>
      <c r="T13" s="152"/>
      <c r="U13" s="152"/>
      <c r="V13" s="152"/>
      <c r="W13" s="152"/>
      <c r="X13" s="736"/>
      <c r="Y13" s="240"/>
      <c r="Z13" s="485"/>
      <c r="AA13" s="484"/>
      <c r="AB13" s="483"/>
    </row>
    <row r="14" spans="1:28" ht="16.2" customHeight="1" thickBot="1" x14ac:dyDescent="0.35">
      <c r="E14" s="695" t="str">
        <v/>
      </c>
      <c r="F14" s="706"/>
      <c r="G14" s="696"/>
      <c r="H14" s="696"/>
      <c r="I14" s="745" t="str">
        <v/>
      </c>
      <c r="J14" s="746" t="str">
        <v/>
      </c>
      <c r="K14" s="757" t="str">
        <v/>
      </c>
      <c r="L14" s="757" t="str">
        <v/>
      </c>
      <c r="M14" s="757" t="str">
        <v/>
      </c>
      <c r="N14" s="758" t="str">
        <v/>
      </c>
      <c r="O14" s="151"/>
      <c r="P14" s="152"/>
      <c r="Q14" s="152"/>
      <c r="R14" s="152"/>
      <c r="S14" s="152"/>
      <c r="T14" s="152"/>
      <c r="U14" s="152"/>
      <c r="V14" s="152"/>
      <c r="W14" s="152"/>
      <c r="X14" s="736"/>
      <c r="Y14" s="240"/>
      <c r="Z14" s="485"/>
      <c r="AA14" s="484"/>
      <c r="AB14" s="483"/>
    </row>
    <row r="15" spans="1:28" ht="16.2" customHeight="1" thickBot="1" x14ac:dyDescent="0.35">
      <c r="E15" s="695" t="str">
        <v/>
      </c>
      <c r="F15" s="706"/>
      <c r="G15" s="696"/>
      <c r="H15" s="696"/>
      <c r="I15" s="747" t="str">
        <v/>
      </c>
      <c r="J15" s="748" t="str">
        <v/>
      </c>
      <c r="K15" s="759" t="str">
        <v/>
      </c>
      <c r="L15" s="759" t="str">
        <v/>
      </c>
      <c r="M15" s="759" t="str">
        <v/>
      </c>
      <c r="N15" s="760" t="str">
        <v/>
      </c>
      <c r="O15" s="151"/>
      <c r="P15" s="152"/>
      <c r="Q15" s="152"/>
      <c r="R15" s="152"/>
      <c r="S15" s="152"/>
      <c r="T15" s="152"/>
      <c r="U15" s="152"/>
      <c r="V15" s="152"/>
      <c r="W15" s="152"/>
      <c r="X15" s="736"/>
      <c r="Y15" s="240"/>
      <c r="Z15" s="485"/>
      <c r="AA15" s="484"/>
      <c r="AB15" s="483"/>
    </row>
    <row r="16" spans="1:28" ht="16.2" customHeight="1" thickTop="1" thickBot="1" x14ac:dyDescent="0.35">
      <c r="E16" s="695"/>
      <c r="F16" s="706"/>
      <c r="G16" s="696"/>
      <c r="H16" s="696"/>
      <c r="I16" s="721"/>
      <c r="J16" s="722"/>
      <c r="K16" s="719"/>
      <c r="L16" s="720"/>
      <c r="M16" s="719"/>
      <c r="N16" s="720"/>
      <c r="O16" s="695"/>
      <c r="P16" s="706"/>
      <c r="Q16" s="696"/>
      <c r="R16" s="163"/>
      <c r="S16" s="732"/>
      <c r="T16" s="732"/>
      <c r="U16" s="733"/>
      <c r="V16" s="733"/>
      <c r="W16" s="733"/>
      <c r="X16" s="716"/>
      <c r="Y16" s="270"/>
      <c r="Z16" s="485"/>
      <c r="AA16" s="484"/>
      <c r="AB16" s="483"/>
    </row>
    <row r="17" spans="4:28" ht="16.2" customHeight="1" thickTop="1" thickBot="1" x14ac:dyDescent="0.35">
      <c r="E17" s="1122" t="str">
        <f>"NON-SERVICED ACCOMMODATION "&amp;CHAR(10)&amp;CHARTYEAR</f>
        <v>NON-SERVICED ACCOMMODATION 
2022</v>
      </c>
      <c r="F17" s="1123"/>
      <c r="G17" s="1123"/>
      <c r="H17" s="1123"/>
      <c r="I17" s="1126">
        <f>CHARTYEAR</f>
        <v>2022</v>
      </c>
      <c r="J17" s="1127"/>
      <c r="K17" s="1119" t="str">
        <f>IF(CHARTYEAR=INDEX(REP.yearsrange,1),"","Change on "&amp;INDEX(REP.yearsrange,MATCH(CHARTYEAR,REP.yearsrange,0)-1))</f>
        <v>Change on 2021</v>
      </c>
      <c r="L17" s="1120"/>
      <c r="M17" s="1113" t="str">
        <f>IF(OR(CHARTYEAR=INDEX(REP.yearsrange,1),CHARTYEAR=INDEX(REP.yearsrange,2)),"","Change on "&amp;INDEX(REP.yearsrange,1))</f>
        <v>Change on 2011</v>
      </c>
      <c r="N17" s="1114"/>
      <c r="O17" s="162"/>
      <c r="P17" s="697"/>
      <c r="Q17" s="696"/>
      <c r="R17" s="248"/>
      <c r="S17" s="418"/>
      <c r="T17" s="698"/>
      <c r="U17" s="418"/>
      <c r="V17" s="418"/>
      <c r="W17" s="418"/>
      <c r="X17" s="700"/>
      <c r="Y17" s="240"/>
      <c r="Z17" s="485"/>
      <c r="AA17" s="484"/>
      <c r="AB17" s="483"/>
    </row>
    <row r="18" spans="4:28" ht="16.2" customHeight="1" thickTop="1" thickBot="1" x14ac:dyDescent="0.35">
      <c r="E18" s="1124"/>
      <c r="F18" s="1125"/>
      <c r="G18" s="1125"/>
      <c r="H18" s="1125"/>
      <c r="I18" s="717" t="s">
        <v>175</v>
      </c>
      <c r="J18" s="718" t="s">
        <v>176</v>
      </c>
      <c r="K18" s="232" t="str">
        <f>IF(K17="","",I18)</f>
        <v>Est.</v>
      </c>
      <c r="L18" s="723" t="str">
        <f>IF(K17="","",J18)</f>
        <v>Beds</v>
      </c>
      <c r="M18" s="724" t="str">
        <f>IF(M17="","",I18)</f>
        <v>Est.</v>
      </c>
      <c r="N18" s="725" t="str">
        <f>IF(M17="","",J18)</f>
        <v>Beds</v>
      </c>
      <c r="O18" s="162"/>
      <c r="P18" s="697"/>
      <c r="Q18" s="696"/>
      <c r="R18" s="248"/>
      <c r="S18" s="418"/>
      <c r="T18" s="159"/>
      <c r="U18" s="418"/>
      <c r="V18" s="418"/>
      <c r="W18" s="418"/>
      <c r="X18" s="700"/>
      <c r="Y18" s="240"/>
      <c r="Z18" s="485"/>
      <c r="AA18" s="484"/>
      <c r="AB18" s="483"/>
    </row>
    <row r="19" spans="4:28" ht="16.2" customHeight="1" thickTop="1" thickBot="1" x14ac:dyDescent="0.35">
      <c r="E19" s="726" t="s">
        <v>162</v>
      </c>
      <c r="F19" s="727"/>
      <c r="G19" s="728"/>
      <c r="H19" s="731"/>
      <c r="I19" s="741">
        <f t="array" ref="I19:I24">IFERROR(INDEX(DATA!$T:$T,MATCH(CHARTYEAR&amp;".Accommodation - Establishments.Non-Serviced Accommodation "&amp;{"Total";"1";"2";"3";"4";"5"},REP.lookup,0)),"")</f>
        <v>2830</v>
      </c>
      <c r="J19" s="741">
        <f t="array" ref="J19:J24">IFERROR(INDEX(DATA!$T:$T,MATCH(CHARTYEAR&amp;".Accommodation - Bed Spaces.Non-Serviced Accommodation "&amp;{"Total";"1";"2";"3";"4";"5"},REP.lookup,0)),"")</f>
        <v>105855.2064012558</v>
      </c>
      <c r="K19" s="754">
        <f t="array" ref="K19:K24">IFERROR(IF(K$18="","",I19:I24-INDEX(DATA!$T:$T,MATCH(CHARTYEAR-1&amp;".Accommodation - Establishments.Non-Serviced Accommodation "&amp;{"Total";"1";"2";"3";"4";"5"},REP.lookup,0))),"")</f>
        <v>0</v>
      </c>
      <c r="L19" s="754">
        <f t="array" ref="L19:L24">IFERROR(IF(L$18="","",J19:J24-INDEX(DATA!$T:$T,MATCH(CHARTYEAR-1&amp;".Accommodation - Bed Spaces.Non-Serviced Accommodation "&amp;{"Total";"1";"2";"3";"4";"5"},REP.lookup,0))),"")</f>
        <v>1672.4064771171688</v>
      </c>
      <c r="M19" s="754">
        <f t="array" ref="M19:M24">IFERROR(IF(M$18="","",I19:I24-INDEX(DATA!$T:$T,MATCH(INDEX(REP.yearsrange,1)&amp;".Accommodation - Establishments.Non-Serviced Accommodation "&amp;{"Total";"1";"2";"3";"4";"5"},REP.lookup,0))),"")</f>
        <v>1532</v>
      </c>
      <c r="N19" s="754">
        <f t="array" ref="N19:N24">IFERROR(IF(N$18="","",J19:J24-INDEX(DATA!$T:$T,MATCH(INDEX(REP.yearsrange,1)&amp;".Accommodation - Bed Spaces.Non-Serviced Accommodation "&amp;{"Total";"1";"2";"3";"4";"5"},REP.lookup,0))),"")</f>
        <v>2334.2064012557967</v>
      </c>
      <c r="O19" s="162"/>
      <c r="P19" s="697"/>
      <c r="Q19" s="696"/>
      <c r="R19" s="248"/>
      <c r="S19" s="418"/>
      <c r="T19" s="159"/>
      <c r="U19" s="418"/>
      <c r="V19" s="418"/>
      <c r="W19" s="418"/>
      <c r="X19" s="700"/>
      <c r="Y19" s="240"/>
      <c r="Z19" s="485"/>
      <c r="AA19" s="484"/>
      <c r="AB19" s="483"/>
    </row>
    <row r="20" spans="4:28" ht="16.2" customHeight="1" thickTop="1" thickBot="1" x14ac:dyDescent="0.35">
      <c r="E20" s="695" t="str">
        <f t="array" ref="E20:E24">IFERROR(IF(AVERAGE(I20:I24,K20:K24,M20:M24)&lt;&gt;0,INDEX(DATA!$G:$G,MATCH(CHARTYEAR&amp;".Accommodation - Establishments.Non-Serviced Accommodation "&amp;{"1";"2";"3";"4";"5"},REP.lookup,0)),""),"")</f>
        <v>Self catering</v>
      </c>
      <c r="F20" s="706"/>
      <c r="G20" s="696"/>
      <c r="H20" s="163"/>
      <c r="I20" s="743">
        <v>2477</v>
      </c>
      <c r="J20" s="744">
        <v>17560</v>
      </c>
      <c r="K20" s="755">
        <v>0</v>
      </c>
      <c r="L20" s="755">
        <v>0</v>
      </c>
      <c r="M20" s="755">
        <v>1737</v>
      </c>
      <c r="N20" s="756">
        <v>4777</v>
      </c>
      <c r="O20" s="162"/>
      <c r="P20" s="697"/>
      <c r="Q20" s="696"/>
      <c r="R20" s="248"/>
      <c r="S20" s="418"/>
      <c r="T20" s="159"/>
      <c r="U20" s="418"/>
      <c r="V20" s="418"/>
      <c r="W20" s="418"/>
      <c r="X20" s="700"/>
      <c r="Y20" s="240"/>
      <c r="Z20" s="485"/>
      <c r="AA20" s="484"/>
      <c r="AB20" s="483"/>
    </row>
    <row r="21" spans="4:28" ht="16.2" customHeight="1" thickBot="1" x14ac:dyDescent="0.35">
      <c r="E21" s="695" t="str">
        <v>Static caravans/chalets</v>
      </c>
      <c r="F21" s="706"/>
      <c r="G21" s="696"/>
      <c r="H21" s="163"/>
      <c r="I21" s="745">
        <v>133</v>
      </c>
      <c r="J21" s="746">
        <v>8160.642722117198</v>
      </c>
      <c r="K21" s="757">
        <v>0</v>
      </c>
      <c r="L21" s="757">
        <v>857.87564561446197</v>
      </c>
      <c r="M21" s="757">
        <v>-105</v>
      </c>
      <c r="N21" s="758">
        <v>1628.642722117198</v>
      </c>
      <c r="O21" s="711"/>
      <c r="P21" s="707"/>
      <c r="Q21" s="707"/>
      <c r="R21" s="707"/>
      <c r="S21" s="707"/>
      <c r="T21" s="707"/>
      <c r="U21" s="707"/>
      <c r="V21" s="707"/>
      <c r="W21" s="707"/>
      <c r="X21" s="712"/>
      <c r="Y21" s="240"/>
      <c r="Z21" s="485"/>
      <c r="AA21" s="484"/>
      <c r="AB21" s="483"/>
    </row>
    <row r="22" spans="4:28" ht="16.2" customHeight="1" thickBot="1" x14ac:dyDescent="0.35">
      <c r="E22" s="695" t="str">
        <v>Touring caravans/camping</v>
      </c>
      <c r="F22" s="706"/>
      <c r="G22" s="696"/>
      <c r="H22" s="163"/>
      <c r="I22" s="745">
        <v>220</v>
      </c>
      <c r="J22" s="746">
        <v>25752</v>
      </c>
      <c r="K22" s="757">
        <v>0</v>
      </c>
      <c r="L22" s="757">
        <v>0</v>
      </c>
      <c r="M22" s="757">
        <v>-100</v>
      </c>
      <c r="N22" s="758">
        <v>-18066</v>
      </c>
      <c r="O22" s="247"/>
      <c r="P22" s="701"/>
      <c r="Q22" s="701"/>
      <c r="R22" s="248"/>
      <c r="S22" s="248"/>
      <c r="T22" s="248"/>
      <c r="U22" s="248"/>
      <c r="V22" s="248"/>
      <c r="W22" s="697"/>
      <c r="X22" s="710"/>
      <c r="Y22" s="240"/>
      <c r="Z22" s="485"/>
      <c r="AA22" s="484"/>
      <c r="AB22" s="483"/>
    </row>
    <row r="23" spans="4:28" ht="16.2" customHeight="1" thickBot="1" x14ac:dyDescent="0.35">
      <c r="E23" s="695" t="str">
        <v>Not-for-hire static</v>
      </c>
      <c r="F23" s="706"/>
      <c r="G23" s="696"/>
      <c r="H23" s="163"/>
      <c r="I23" s="745">
        <v>0</v>
      </c>
      <c r="J23" s="746">
        <v>45088.283059084315</v>
      </c>
      <c r="K23" s="757">
        <v>0</v>
      </c>
      <c r="L23" s="757">
        <v>0</v>
      </c>
      <c r="M23" s="757">
        <v>0</v>
      </c>
      <c r="N23" s="758">
        <v>4700.283059084315</v>
      </c>
      <c r="O23" s="162"/>
      <c r="P23" s="701"/>
      <c r="Q23" s="701"/>
      <c r="R23" s="605"/>
      <c r="S23" s="605"/>
      <c r="T23" s="605"/>
      <c r="U23" s="605"/>
      <c r="V23" s="605"/>
      <c r="W23" s="605"/>
      <c r="X23" s="702"/>
      <c r="Y23" s="240"/>
      <c r="AA23" s="485"/>
      <c r="AB23" s="483"/>
    </row>
    <row r="24" spans="4:28" ht="16.2" customHeight="1" thickBot="1" x14ac:dyDescent="0.35">
      <c r="E24" s="695" t="str">
        <v>Airbnb</v>
      </c>
      <c r="F24" s="706"/>
      <c r="G24" s="696"/>
      <c r="H24" s="163"/>
      <c r="I24" s="747">
        <v>0</v>
      </c>
      <c r="J24" s="748">
        <v>9294.2806200542909</v>
      </c>
      <c r="K24" s="759">
        <v>0</v>
      </c>
      <c r="L24" s="759">
        <v>814.5308315027105</v>
      </c>
      <c r="M24" s="759" t="str">
        <v/>
      </c>
      <c r="N24" s="760" t="str">
        <v/>
      </c>
      <c r="O24" s="162"/>
      <c r="P24" s="701"/>
      <c r="Q24" s="701"/>
      <c r="R24" s="159"/>
      <c r="S24" s="159"/>
      <c r="T24" s="159"/>
      <c r="U24" s="159"/>
      <c r="V24" s="159"/>
      <c r="W24" s="159"/>
      <c r="X24" s="416"/>
      <c r="Y24" s="240"/>
      <c r="AA24" s="485"/>
      <c r="AB24" s="483"/>
    </row>
    <row r="25" spans="4:28" ht="16.2" customHeight="1" thickTop="1" thickBot="1" x14ac:dyDescent="0.35">
      <c r="E25" s="695"/>
      <c r="F25" s="706"/>
      <c r="G25" s="696"/>
      <c r="H25" s="163"/>
      <c r="I25" s="732"/>
      <c r="J25" s="732"/>
      <c r="K25" s="733"/>
      <c r="L25" s="733"/>
      <c r="M25" s="733"/>
      <c r="N25" s="716"/>
      <c r="O25" s="162"/>
      <c r="P25" s="701"/>
      <c r="Q25" s="701"/>
      <c r="R25" s="159"/>
      <c r="S25" s="159"/>
      <c r="T25" s="159"/>
      <c r="U25" s="159"/>
      <c r="V25" s="159"/>
      <c r="W25" s="159"/>
      <c r="X25" s="416"/>
      <c r="Y25" s="240"/>
      <c r="AA25" s="485"/>
      <c r="AB25" s="483"/>
    </row>
    <row r="26" spans="4:28" ht="16.2" customHeight="1" thickTop="1" thickBot="1" x14ac:dyDescent="0.35">
      <c r="E26" s="1132" t="str">
        <f>"DISTRIBUTION BY TYPE OF ACCOMMODATION"&amp;CHAR(10)&amp;CHARTYEAR</f>
        <v>DISTRIBUTION BY TYPE OF ACCOMMODATION
2022</v>
      </c>
      <c r="F26" s="1133"/>
      <c r="G26" s="1133"/>
      <c r="H26" s="1133"/>
      <c r="I26" s="1126">
        <f>CHARTYEAR</f>
        <v>2022</v>
      </c>
      <c r="J26" s="1127"/>
      <c r="K26" s="1119" t="str">
        <f>IF(CHARTYEAR=INDEX(REP.yearsrange,1),"","Change on "&amp;INDEX(REP.yearsrange,MATCH(CHARTYEAR,REP.yearsrange,0)-1))</f>
        <v>Change on 2021</v>
      </c>
      <c r="L26" s="1120"/>
      <c r="M26" s="1113" t="str">
        <f>IF(OR(CHARTYEAR=INDEX(REP.yearsrange,1),CHARTYEAR=INDEX(REP.yearsrange,2)),"","Change on "&amp;INDEX(REP.yearsrange,1))</f>
        <v>Change on 2011</v>
      </c>
      <c r="N26" s="1114"/>
      <c r="O26" s="162"/>
      <c r="P26" s="163"/>
      <c r="Q26" s="163"/>
      <c r="R26" s="248"/>
      <c r="S26" s="418"/>
      <c r="T26" s="418"/>
      <c r="U26" s="418"/>
      <c r="V26" s="418"/>
      <c r="W26" s="418"/>
      <c r="X26" s="700"/>
      <c r="Y26" s="240"/>
      <c r="Z26" s="485"/>
      <c r="AA26" s="484"/>
      <c r="AB26" s="483"/>
    </row>
    <row r="27" spans="4:28" ht="16.2" customHeight="1" thickTop="1" thickBot="1" x14ac:dyDescent="0.35">
      <c r="D27" s="196"/>
      <c r="E27" s="1134"/>
      <c r="F27" s="1135"/>
      <c r="G27" s="1135"/>
      <c r="H27" s="1135"/>
      <c r="I27" s="694" t="s">
        <v>175</v>
      </c>
      <c r="J27" s="694" t="s">
        <v>176</v>
      </c>
      <c r="K27" s="130" t="str">
        <f>IF(K26="","",I27)</f>
        <v>Est.</v>
      </c>
      <c r="L27" s="130" t="str">
        <f>IF(K26="","",J27)</f>
        <v>Beds</v>
      </c>
      <c r="M27" s="742" t="str">
        <f>IF(M26="","",I27)</f>
        <v>Est.</v>
      </c>
      <c r="N27" s="742" t="str">
        <f>IF(M26="","",J27)</f>
        <v>Beds</v>
      </c>
      <c r="O27" s="162"/>
      <c r="P27" s="163"/>
      <c r="Q27" s="163"/>
      <c r="R27" s="248"/>
      <c r="S27" s="418"/>
      <c r="T27" s="418"/>
      <c r="U27" s="418"/>
      <c r="V27" s="418"/>
      <c r="W27" s="418"/>
      <c r="X27" s="700"/>
      <c r="Y27" s="240"/>
      <c r="Z27" s="485"/>
      <c r="AA27" s="484"/>
      <c r="AB27" s="483"/>
    </row>
    <row r="28" spans="4:28" ht="16.2" customHeight="1" thickTop="1" thickBot="1" x14ac:dyDescent="0.35">
      <c r="D28" s="196"/>
      <c r="E28" s="726" t="s">
        <v>177</v>
      </c>
      <c r="F28" s="728"/>
      <c r="G28" s="730"/>
      <c r="H28" s="728"/>
      <c r="I28" s="741">
        <f>SUM(I10,I19)</f>
        <v>3175</v>
      </c>
      <c r="J28" s="741">
        <f>SUM(J10,J19)</f>
        <v>112231.2064012558</v>
      </c>
      <c r="K28" s="754">
        <f>IF(CHARTYEAR.no&gt;1,SUM(K10,K19),"")</f>
        <v>0</v>
      </c>
      <c r="L28" s="754">
        <f>IF(CHARTYEAR.no&gt;1,SUM(L10,L19),"")</f>
        <v>1672.4064771171688</v>
      </c>
      <c r="M28" s="754">
        <f>IF(CHARTYEAR.no&gt;2,SUM(M10,M19),"")</f>
        <v>1234</v>
      </c>
      <c r="N28" s="754">
        <f>IF(CHARTYEAR.no&gt;2,SUM(N10,N19),"")</f>
        <v>-867.79359874420334</v>
      </c>
      <c r="O28" s="162"/>
      <c r="P28" s="163"/>
      <c r="Q28" s="163"/>
      <c r="R28" s="248"/>
      <c r="S28" s="418"/>
      <c r="T28" s="418"/>
      <c r="U28" s="418"/>
      <c r="V28" s="418"/>
      <c r="W28" s="418"/>
      <c r="X28" s="700"/>
      <c r="Y28" s="240"/>
      <c r="Z28" s="485"/>
      <c r="AA28" s="484"/>
      <c r="AB28" s="484"/>
    </row>
    <row r="29" spans="4:28" ht="16.2" customHeight="1" thickTop="1" thickBot="1" x14ac:dyDescent="0.35">
      <c r="D29" s="196"/>
      <c r="E29" s="695" t="s">
        <v>178</v>
      </c>
      <c r="F29" s="696"/>
      <c r="G29" s="699"/>
      <c r="H29" s="696"/>
      <c r="I29" s="772">
        <f>IFERROR(I$10/I$28,0)</f>
        <v>0.10866141732283464</v>
      </c>
      <c r="J29" s="773">
        <f>IFERROR(J$10/J$28,0)</f>
        <v>5.6811293440116283E-2</v>
      </c>
      <c r="K29" s="749"/>
      <c r="L29" s="749"/>
      <c r="M29" s="749"/>
      <c r="N29" s="750"/>
      <c r="O29" s="162"/>
      <c r="P29" s="701"/>
      <c r="Q29" s="701"/>
      <c r="R29" s="248"/>
      <c r="S29" s="418"/>
      <c r="T29" s="418"/>
      <c r="U29" s="418"/>
      <c r="V29" s="418"/>
      <c r="W29" s="418"/>
      <c r="X29" s="700"/>
      <c r="Y29" s="240"/>
      <c r="Z29" s="485"/>
      <c r="AA29" s="484"/>
      <c r="AB29" s="484"/>
    </row>
    <row r="30" spans="4:28" ht="16.2" customHeight="1" thickBot="1" x14ac:dyDescent="0.35">
      <c r="D30" s="196"/>
      <c r="E30" s="695" t="s">
        <v>179</v>
      </c>
      <c r="F30" s="707"/>
      <c r="G30" s="707"/>
      <c r="H30" s="707"/>
      <c r="I30" s="774">
        <f>IFERROR(I$19/I$28,0)</f>
        <v>0.89133858267716537</v>
      </c>
      <c r="J30" s="775">
        <f>IFERROR(J$19/J$28,0)</f>
        <v>0.94318870655988374</v>
      </c>
      <c r="K30" s="751"/>
      <c r="L30" s="751"/>
      <c r="M30" s="751"/>
      <c r="N30" s="752"/>
      <c r="O30" s="162"/>
      <c r="P30" s="488"/>
      <c r="Q30" s="488"/>
      <c r="R30" s="607"/>
      <c r="S30" s="418"/>
      <c r="T30" s="440"/>
      <c r="U30" s="703"/>
      <c r="V30" s="418"/>
      <c r="W30" s="418"/>
      <c r="X30" s="441"/>
      <c r="Y30" s="240"/>
      <c r="Z30" s="485"/>
      <c r="AA30" s="484"/>
      <c r="AB30" s="484"/>
    </row>
    <row r="31" spans="4:28" ht="16.2" customHeight="1" thickTop="1" x14ac:dyDescent="0.3">
      <c r="D31" s="196"/>
      <c r="E31" s="695"/>
      <c r="F31" s="706"/>
      <c r="G31" s="696"/>
      <c r="H31" s="163"/>
      <c r="I31" s="163"/>
      <c r="J31" s="163"/>
      <c r="K31" s="163"/>
      <c r="L31" s="163"/>
      <c r="M31" s="163"/>
      <c r="N31" s="714"/>
      <c r="O31" s="162"/>
      <c r="P31" s="492"/>
      <c r="Q31" s="492"/>
      <c r="R31" s="159"/>
      <c r="S31" s="418"/>
      <c r="T31" s="440"/>
      <c r="U31" s="440"/>
      <c r="V31" s="418"/>
      <c r="W31" s="418"/>
      <c r="X31" s="441"/>
      <c r="Y31" s="240"/>
      <c r="Z31" s="485"/>
      <c r="AA31" s="484"/>
      <c r="AB31" s="483"/>
    </row>
    <row r="32" spans="4:28" ht="16.2" customHeight="1" thickBot="1" x14ac:dyDescent="0.35">
      <c r="D32" s="196"/>
      <c r="E32" s="1132" t="str">
        <f>"SEASONAL AVAILABILITY OF BED SUPPLY"&amp;CHAR(10)&amp;CHARTYEAR</f>
        <v>SEASONAL AVAILABILITY OF BED SUPPLY
2022</v>
      </c>
      <c r="F32" s="1133"/>
      <c r="G32" s="1133"/>
      <c r="H32" s="1133"/>
      <c r="I32" s="842">
        <f>CHARTYEAR</f>
        <v>2022</v>
      </c>
      <c r="J32" s="843"/>
      <c r="K32" s="843"/>
      <c r="L32" s="843"/>
      <c r="M32" s="843"/>
      <c r="N32" s="843"/>
      <c r="O32" s="843"/>
      <c r="P32" s="843"/>
      <c r="Q32" s="843"/>
      <c r="R32" s="843"/>
      <c r="S32" s="843"/>
      <c r="T32" s="843"/>
      <c r="U32" s="440"/>
      <c r="V32" s="418"/>
      <c r="W32" s="418"/>
      <c r="X32" s="441"/>
      <c r="Y32" s="240"/>
      <c r="Z32" s="485"/>
      <c r="AA32" s="484"/>
      <c r="AB32" s="483"/>
    </row>
    <row r="33" spans="4:26" ht="16.2" customHeight="1" thickTop="1" thickBot="1" x14ac:dyDescent="0.35">
      <c r="D33" s="196"/>
      <c r="E33" s="1134"/>
      <c r="F33" s="1135"/>
      <c r="G33" s="1135"/>
      <c r="H33" s="1135"/>
      <c r="I33" s="737" t="s">
        <v>26</v>
      </c>
      <c r="J33" s="737" t="s">
        <v>27</v>
      </c>
      <c r="K33" s="737" t="s">
        <v>28</v>
      </c>
      <c r="L33" s="781" t="s">
        <v>29</v>
      </c>
      <c r="M33" s="738" t="s">
        <v>30</v>
      </c>
      <c r="N33" s="738" t="s">
        <v>31</v>
      </c>
      <c r="O33" s="785" t="s">
        <v>32</v>
      </c>
      <c r="P33" s="739" t="s">
        <v>33</v>
      </c>
      <c r="Q33" s="739" t="s">
        <v>34</v>
      </c>
      <c r="R33" s="769" t="s">
        <v>35</v>
      </c>
      <c r="S33" s="740" t="s">
        <v>36</v>
      </c>
      <c r="T33" s="740" t="s">
        <v>37</v>
      </c>
      <c r="U33" s="440"/>
      <c r="V33" s="418"/>
      <c r="W33" s="418"/>
      <c r="X33" s="441"/>
      <c r="Y33" s="240"/>
      <c r="Z33" s="240"/>
    </row>
    <row r="34" spans="4:26" ht="16.2" customHeight="1" thickTop="1" thickBot="1" x14ac:dyDescent="0.35">
      <c r="D34" s="196"/>
      <c r="E34" s="726" t="s">
        <v>177</v>
      </c>
      <c r="F34" s="728"/>
      <c r="G34" s="730"/>
      <c r="H34" s="728"/>
      <c r="I34" s="776">
        <f>IFERROR(SUM(I35:I36),"")</f>
        <v>50484.462297223501</v>
      </c>
      <c r="J34" s="776">
        <f t="shared" ref="J34:T34" si="0">IFERROR(SUM(J35:J36),"")</f>
        <v>48651.53723744431</v>
      </c>
      <c r="K34" s="776">
        <f t="shared" si="0"/>
        <v>103509.25077667359</v>
      </c>
      <c r="L34" s="782">
        <f t="shared" si="0"/>
        <v>109711.04403709338</v>
      </c>
      <c r="M34" s="776">
        <f t="shared" si="0"/>
        <v>109015.77136201361</v>
      </c>
      <c r="N34" s="776">
        <f t="shared" si="0"/>
        <v>110388.23930836853</v>
      </c>
      <c r="O34" s="782">
        <f t="shared" si="0"/>
        <v>110062.24063487112</v>
      </c>
      <c r="P34" s="776">
        <f t="shared" si="0"/>
        <v>109532.51828916121</v>
      </c>
      <c r="Q34" s="776">
        <f t="shared" si="0"/>
        <v>110044.26017702876</v>
      </c>
      <c r="R34" s="782">
        <f t="shared" si="0"/>
        <v>109028.89073402103</v>
      </c>
      <c r="S34" s="776">
        <f t="shared" si="0"/>
        <v>68982.859634570836</v>
      </c>
      <c r="T34" s="776">
        <f t="shared" si="0"/>
        <v>64214.280620054291</v>
      </c>
      <c r="U34" s="418"/>
      <c r="V34" s="418"/>
      <c r="W34" s="418"/>
      <c r="X34" s="441"/>
      <c r="Y34" s="705"/>
      <c r="Z34" s="240"/>
    </row>
    <row r="35" spans="4:26" ht="16.2" customHeight="1" thickTop="1" thickBot="1" x14ac:dyDescent="0.35">
      <c r="D35" s="196"/>
      <c r="E35" s="695" t="s">
        <v>43</v>
      </c>
      <c r="F35" s="696"/>
      <c r="G35" s="699"/>
      <c r="H35" s="696"/>
      <c r="I35" s="770">
        <f>IFERROR(INDEX(DATA!H:H,MATCH(CHARTYEAR&amp;".Accommodation.Serviced Accommodation",REP.lookup,0)),"")</f>
        <v>5901</v>
      </c>
      <c r="J35" s="771">
        <f>IFERROR(INDEX(DATA!I:I,MATCH(CHARTYEAR&amp;".Accommodation.Serviced Accommodation",REP.lookup,0)),"")</f>
        <v>6048</v>
      </c>
      <c r="K35" s="779">
        <f>IFERROR(INDEX(DATA!J:J,MATCH(CHARTYEAR&amp;".Accommodation.Serviced Accommodation",REP.lookup,0)),"")</f>
        <v>6286</v>
      </c>
      <c r="L35" s="783">
        <f>IFERROR(INDEX(DATA!K:K,MATCH(CHARTYEAR&amp;".Accommodation.Serviced Accommodation",REP.lookup,0)),"")</f>
        <v>6364</v>
      </c>
      <c r="M35" s="771">
        <f>IFERROR(INDEX(DATA!L:L,MATCH(CHARTYEAR&amp;".Accommodation.Serviced Accommodation",REP.lookup,0)),"")</f>
        <v>6376</v>
      </c>
      <c r="N35" s="779">
        <f>IFERROR(INDEX(DATA!M:M,MATCH(CHARTYEAR&amp;".Accommodation.Serviced Accommodation",REP.lookup,0)),"")</f>
        <v>6376</v>
      </c>
      <c r="O35" s="783">
        <f>IFERROR(INDEX(DATA!N:N,MATCH(CHARTYEAR&amp;".Accommodation.Serviced Accommodation",REP.lookup,0)),"")</f>
        <v>6376</v>
      </c>
      <c r="P35" s="771">
        <f>IFERROR(INDEX(DATA!O:O,MATCH(CHARTYEAR&amp;".Accommodation.Serviced Accommodation",REP.lookup,0)),"")</f>
        <v>6376</v>
      </c>
      <c r="Q35" s="779">
        <f>IFERROR(INDEX(DATA!P:P,MATCH(CHARTYEAR&amp;".Accommodation.Serviced Accommodation",REP.lookup,0)),"")</f>
        <v>6376</v>
      </c>
      <c r="R35" s="783">
        <f>IFERROR(INDEX(DATA!Q:Q,MATCH(CHARTYEAR&amp;".Accommodation.Serviced Accommodation",REP.lookup,0)),"")</f>
        <v>6359</v>
      </c>
      <c r="S35" s="771">
        <f>IFERROR(INDEX(DATA!R:R,MATCH(CHARTYEAR&amp;".Accommodation.Serviced Accommodation",REP.lookup,0)),"")</f>
        <v>6176</v>
      </c>
      <c r="T35" s="779">
        <f>IFERROR(INDEX(DATA!S:S,MATCH(CHARTYEAR&amp;".Accommodation.Serviced Accommodation",REP.lookup,0)),"")</f>
        <v>6143</v>
      </c>
      <c r="U35" s="418"/>
      <c r="V35" s="418"/>
      <c r="W35" s="418"/>
      <c r="X35" s="700"/>
      <c r="Y35" s="240"/>
      <c r="Z35" s="240"/>
    </row>
    <row r="36" spans="4:26" ht="16.2" customHeight="1" thickBot="1" x14ac:dyDescent="0.35">
      <c r="D36" s="196"/>
      <c r="E36" s="695" t="s">
        <v>48</v>
      </c>
      <c r="F36" s="707"/>
      <c r="G36" s="707"/>
      <c r="H36" s="707"/>
      <c r="I36" s="777">
        <f>IFERROR(INDEX(DATA!H:H,MATCH(CHARTYEAR&amp;".Accommodation.Non-Serviced Accommodation",REP.lookup,0)),"")</f>
        <v>44583.462297223501</v>
      </c>
      <c r="J36" s="778">
        <f>IFERROR(INDEX(DATA!I:I,MATCH(CHARTYEAR&amp;".Accommodation.Non-Serviced Accommodation",REP.lookup,0)),"")</f>
        <v>42603.53723744431</v>
      </c>
      <c r="K36" s="780">
        <f>IFERROR(INDEX(DATA!J:J,MATCH(CHARTYEAR&amp;".Accommodation.Non-Serviced Accommodation",REP.lookup,0)),"")</f>
        <v>97223.250776673594</v>
      </c>
      <c r="L36" s="784">
        <f>IFERROR(INDEX(DATA!K:K,MATCH(CHARTYEAR&amp;".Accommodation.Non-Serviced Accommodation",REP.lookup,0)),"")</f>
        <v>103347.04403709338</v>
      </c>
      <c r="M36" s="778">
        <f>IFERROR(INDEX(DATA!L:L,MATCH(CHARTYEAR&amp;".Accommodation.Non-Serviced Accommodation",REP.lookup,0)),"")</f>
        <v>102639.77136201361</v>
      </c>
      <c r="N36" s="780">
        <f>IFERROR(INDEX(DATA!M:M,MATCH(CHARTYEAR&amp;".Accommodation.Non-Serviced Accommodation",REP.lookup,0)),"")</f>
        <v>104012.23930836853</v>
      </c>
      <c r="O36" s="784">
        <f>IFERROR(INDEX(DATA!N:N,MATCH(CHARTYEAR&amp;".Accommodation.Non-Serviced Accommodation",REP.lookup,0)),"")</f>
        <v>103686.24063487112</v>
      </c>
      <c r="P36" s="778">
        <f>IFERROR(INDEX(DATA!O:O,MATCH(CHARTYEAR&amp;".Accommodation.Non-Serviced Accommodation",REP.lookup,0)),"")</f>
        <v>103156.51828916121</v>
      </c>
      <c r="Q36" s="780">
        <f>IFERROR(INDEX(DATA!P:P,MATCH(CHARTYEAR&amp;".Accommodation.Non-Serviced Accommodation",REP.lookup,0)),"")</f>
        <v>103668.26017702876</v>
      </c>
      <c r="R36" s="784">
        <f>IFERROR(INDEX(DATA!Q:Q,MATCH(CHARTYEAR&amp;".Accommodation.Non-Serviced Accommodation",REP.lookup,0)),"")</f>
        <v>102669.89073402103</v>
      </c>
      <c r="S36" s="778">
        <f>IFERROR(INDEX(DATA!R:R,MATCH(CHARTYEAR&amp;".Accommodation.Non-Serviced Accommodation",REP.lookup,0)),"")</f>
        <v>62806.859634570843</v>
      </c>
      <c r="T36" s="780">
        <f>IFERROR(INDEX(DATA!S:S,MATCH(CHARTYEAR&amp;".Accommodation.Non-Serviced Accommodation",REP.lookup,0)),"")</f>
        <v>58071.280620054291</v>
      </c>
      <c r="U36" s="418"/>
      <c r="V36" s="418"/>
      <c r="W36" s="418"/>
      <c r="X36" s="700"/>
      <c r="Y36" s="240"/>
      <c r="Z36" s="240"/>
    </row>
    <row r="37" spans="4:26" ht="16.2" customHeight="1" thickTop="1" thickBot="1" x14ac:dyDescent="0.35">
      <c r="D37" s="196"/>
      <c r="E37" s="695"/>
      <c r="F37" s="706"/>
      <c r="G37" s="696"/>
      <c r="H37" s="163"/>
      <c r="I37" s="163"/>
      <c r="J37" s="163"/>
      <c r="K37" s="163"/>
      <c r="L37" s="163"/>
      <c r="M37" s="163"/>
      <c r="N37" s="714"/>
      <c r="O37" s="715"/>
      <c r="P37" s="713"/>
      <c r="Q37" s="713"/>
      <c r="R37" s="713"/>
      <c r="S37" s="276"/>
      <c r="T37" s="276"/>
      <c r="U37" s="276"/>
      <c r="V37" s="276"/>
      <c r="W37" s="276"/>
      <c r="X37" s="704"/>
      <c r="Y37" s="240"/>
      <c r="Z37" s="240"/>
    </row>
    <row r="38" spans="4:26" s="174" customFormat="1" ht="16.2" customHeight="1" thickTop="1" thickBot="1" x14ac:dyDescent="0.2">
      <c r="D38" s="170"/>
      <c r="E38" s="171" t="str">
        <f>REP.footer1</f>
        <v>This report is copyright © Global Tourism Solutions (UK) Ltd 2023</v>
      </c>
      <c r="F38" s="172"/>
      <c r="G38" s="172"/>
      <c r="H38" s="172"/>
      <c r="I38" s="172"/>
      <c r="J38" s="172"/>
      <c r="K38" s="172"/>
      <c r="L38" s="172"/>
      <c r="M38" s="172"/>
      <c r="N38" s="172"/>
      <c r="O38" s="172"/>
      <c r="P38" s="172"/>
      <c r="Q38" s="172"/>
      <c r="R38" s="172"/>
      <c r="S38" s="172"/>
      <c r="T38" s="172"/>
      <c r="U38" s="172"/>
      <c r="V38" s="172"/>
      <c r="W38" s="172"/>
      <c r="X38" s="173" t="str">
        <f>REP.footer2</f>
        <v>Report Prepared by: Cathy James. Date of Issue: 14/08/23</v>
      </c>
    </row>
    <row r="39" spans="4:26" ht="16.2" customHeight="1" thickTop="1" x14ac:dyDescent="0.3"/>
    <row r="40" spans="4:26" ht="16.2" customHeight="1" x14ac:dyDescent="0.3">
      <c r="G40" s="240"/>
      <c r="H40" s="240"/>
      <c r="I40" s="240"/>
      <c r="J40" s="240"/>
      <c r="K40" s="240"/>
      <c r="L40" s="240"/>
      <c r="M40" s="240"/>
      <c r="N40" s="240"/>
      <c r="O40" s="240"/>
      <c r="P40" s="240"/>
      <c r="Q40" s="240"/>
      <c r="R40" s="240"/>
      <c r="S40" s="240"/>
      <c r="T40" s="240"/>
      <c r="U40" s="240"/>
      <c r="V40" s="240"/>
    </row>
    <row r="41" spans="4:26" ht="16.2" customHeight="1" x14ac:dyDescent="0.3">
      <c r="G41" s="240"/>
      <c r="H41" s="240"/>
      <c r="I41" s="240"/>
      <c r="J41" s="240"/>
      <c r="K41" s="240"/>
      <c r="L41" s="240"/>
      <c r="M41" s="240"/>
      <c r="N41" s="240"/>
      <c r="O41" s="240"/>
      <c r="P41" s="240"/>
      <c r="Q41" s="240"/>
      <c r="R41" s="240"/>
      <c r="S41" s="240"/>
      <c r="T41" s="240"/>
      <c r="U41" s="240"/>
      <c r="V41" s="240"/>
    </row>
    <row r="42" spans="4:26" ht="16.2" customHeight="1" x14ac:dyDescent="0.3">
      <c r="N42" s="240"/>
    </row>
    <row r="43" spans="4:26" ht="16.2" customHeight="1" x14ac:dyDescent="0.3">
      <c r="N43" s="240"/>
    </row>
    <row r="44" spans="4:26" ht="16.2" customHeight="1" x14ac:dyDescent="0.3">
      <c r="N44" s="240"/>
    </row>
    <row r="45" spans="4:26" ht="16.2" customHeight="1" x14ac:dyDescent="0.3">
      <c r="N45" s="240"/>
    </row>
    <row r="46" spans="4:26" ht="16.2" customHeight="1" x14ac:dyDescent="0.3">
      <c r="N46" s="240"/>
    </row>
    <row r="47" spans="4:26" ht="16.2" customHeight="1" x14ac:dyDescent="0.3">
      <c r="N47" s="240"/>
    </row>
    <row r="70" spans="7:23" ht="16.2" customHeight="1" x14ac:dyDescent="0.3">
      <c r="G70" s="111" t="s">
        <v>43</v>
      </c>
      <c r="H70" s="111" t="s">
        <v>43</v>
      </c>
      <c r="J70" s="111" t="s">
        <v>48</v>
      </c>
      <c r="K70" s="111" t="s">
        <v>48</v>
      </c>
      <c r="M70" s="111" t="s">
        <v>18</v>
      </c>
      <c r="N70" s="111" t="s">
        <v>18</v>
      </c>
      <c r="P70" s="111" t="s">
        <v>95</v>
      </c>
      <c r="S70" s="111" t="s">
        <v>71</v>
      </c>
      <c r="T70" s="111" t="s">
        <v>71</v>
      </c>
      <c r="V70" s="111" t="s">
        <v>54</v>
      </c>
      <c r="W70" s="111" t="s">
        <v>54</v>
      </c>
    </row>
  </sheetData>
  <sheetProtection algorithmName="SHA-512" hashValue="bDpIJzGwBlCe012dR4tzgPA7B+XaDcIOirVk9ak4CkftfETiAXtij2FGTThZ4vfvWM7P136/6eqc8HsCFWWLRA==" saltValue="RA3BMYLrCx0Jz5JKXISQkA==" spinCount="100000" sheet="1" objects="1" scenarios="1"/>
  <mergeCells count="18">
    <mergeCell ref="M26:N26"/>
    <mergeCell ref="K17:L17"/>
    <mergeCell ref="O8:X9"/>
    <mergeCell ref="E32:H33"/>
    <mergeCell ref="I32:T32"/>
    <mergeCell ref="E26:H27"/>
    <mergeCell ref="I26:J26"/>
    <mergeCell ref="K26:L26"/>
    <mergeCell ref="O6:R7"/>
    <mergeCell ref="S6:T7"/>
    <mergeCell ref="U6:X7"/>
    <mergeCell ref="M17:N17"/>
    <mergeCell ref="E8:H9"/>
    <mergeCell ref="K8:L8"/>
    <mergeCell ref="M8:N8"/>
    <mergeCell ref="E17:H18"/>
    <mergeCell ref="I8:J8"/>
    <mergeCell ref="I17:J17"/>
  </mergeCells>
  <conditionalFormatting sqref="I10:L16 I19:L25 I28:L28">
    <cfRule type="expression" dxfId="25" priority="27">
      <formula>$E10=""</formula>
    </cfRule>
  </conditionalFormatting>
  <conditionalFormatting sqref="I11:N16">
    <cfRule type="expression" dxfId="24" priority="32">
      <formula>$I$10=0</formula>
    </cfRule>
  </conditionalFormatting>
  <conditionalFormatting sqref="I34:T34">
    <cfRule type="expression" dxfId="23" priority="5">
      <formula>$E34=""</formula>
    </cfRule>
  </conditionalFormatting>
  <conditionalFormatting sqref="K8:L9">
    <cfRule type="expression" dxfId="22" priority="31">
      <formula>CHARTYEAR.no&gt;1</formula>
    </cfRule>
  </conditionalFormatting>
  <conditionalFormatting sqref="K10:L16 K19:L25 K28:L28">
    <cfRule type="expression" dxfId="21" priority="36">
      <formula>CHARTYEAR.no&gt;1</formula>
    </cfRule>
  </conditionalFormatting>
  <conditionalFormatting sqref="K17:L18">
    <cfRule type="expression" dxfId="20" priority="15">
      <formula>CHARTYEAR.no&gt;1</formula>
    </cfRule>
  </conditionalFormatting>
  <conditionalFormatting sqref="K26:L27">
    <cfRule type="expression" dxfId="19" priority="12">
      <formula>CHARTYEAR.no&gt;1</formula>
    </cfRule>
  </conditionalFormatting>
  <conditionalFormatting sqref="M8:N9">
    <cfRule type="expression" dxfId="18" priority="30">
      <formula>CHARTYEAR.no&gt;2</formula>
    </cfRule>
  </conditionalFormatting>
  <conditionalFormatting sqref="M17:N18">
    <cfRule type="expression" dxfId="17" priority="14">
      <formula>CHARTYEAR.no&gt;2</formula>
    </cfRule>
  </conditionalFormatting>
  <conditionalFormatting sqref="M26:N27">
    <cfRule type="expression" dxfId="16" priority="11">
      <formula>CHARTYEAR.no&gt;2</formula>
    </cfRule>
  </conditionalFormatting>
  <conditionalFormatting sqref="P26:Q27">
    <cfRule type="expression" dxfId="15" priority="63">
      <formula>AVERAGE($O26:$Q26)&gt;2500</formula>
    </cfRule>
  </conditionalFormatting>
  <conditionalFormatting sqref="S16:V16">
    <cfRule type="expression" dxfId="14" priority="13">
      <formula>$O16=""</formula>
    </cfRule>
  </conditionalFormatting>
  <conditionalFormatting sqref="S16:X16 I20:N25">
    <cfRule type="expression" dxfId="13" priority="62">
      <formula>$I$19=0</formula>
    </cfRule>
  </conditionalFormatting>
  <conditionalFormatting sqref="U16:V16">
    <cfRule type="expression" dxfId="12" priority="17">
      <formula>CHARTYEAR.no&gt;1</formula>
    </cfRule>
  </conditionalFormatting>
  <conditionalFormatting sqref="AA28">
    <cfRule type="expression" dxfId="11" priority="51">
      <formula>AA28&gt;2500</formula>
    </cfRule>
  </conditionalFormatting>
  <conditionalFormatting sqref="AB28:AB30">
    <cfRule type="expression" dxfId="10" priority="50">
      <formula>AB28&gt;2500</formula>
    </cfRule>
  </conditionalFormatting>
  <printOptions horizontalCentered="1" verticalCentered="1"/>
  <pageMargins left="0.70866141732283472" right="0.70866141732283472" top="0.74803149606299213" bottom="0.74803149606299213" header="0.31496062992125984" footer="0.31496062992125984"/>
  <pageSetup paperSize="9" scale="89"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229377" r:id="rId4" name="Drop Down 1">
              <controlPr defaultSize="0" autoLine="0" autoPict="0">
                <anchor moveWithCells="1">
                  <from>
                    <xdr:col>16</xdr:col>
                    <xdr:colOff>76200</xdr:colOff>
                    <xdr:row>4</xdr:row>
                    <xdr:rowOff>22860</xdr:rowOff>
                  </from>
                  <to>
                    <xdr:col>17</xdr:col>
                    <xdr:colOff>297180</xdr:colOff>
                    <xdr:row>4</xdr:row>
                    <xdr:rowOff>297180</xdr:rowOff>
                  </to>
                </anchor>
              </controlPr>
            </control>
          </mc:Choice>
        </mc:AlternateContent>
        <mc:AlternateContent xmlns:mc="http://schemas.openxmlformats.org/markup-compatibility/2006">
          <mc:Choice Requires="x14">
            <control shapeId="229378" r:id="rId5" name="Drop Down 2">
              <controlPr defaultSize="0" autoLine="0" autoPict="0">
                <anchor moveWithCells="1">
                  <from>
                    <xdr:col>5</xdr:col>
                    <xdr:colOff>335280</xdr:colOff>
                    <xdr:row>4</xdr:row>
                    <xdr:rowOff>22860</xdr:rowOff>
                  </from>
                  <to>
                    <xdr:col>7</xdr:col>
                    <xdr:colOff>198120</xdr:colOff>
                    <xdr:row>4</xdr:row>
                    <xdr:rowOff>297180</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Output07">
    <tabColor theme="1" tint="0.34998626667073579"/>
    <outlinePr showOutlineSymbols="0"/>
    <pageSetUpPr autoPageBreaks="0" fitToPage="1"/>
  </sheetPr>
  <dimension ref="A1:Y70"/>
  <sheetViews>
    <sheetView showGridLines="0" showRowColHeaders="0" showZeros="0" showOutlineSymbols="0" topLeftCell="A2" zoomScaleNormal="100" workbookViewId="0">
      <pane ySplit="6" topLeftCell="A8" activePane="bottomLeft" state="frozen"/>
      <selection activeCell="AC21" sqref="AC21"/>
      <selection pane="bottomLeft" activeCell="G10" sqref="G10"/>
    </sheetView>
  </sheetViews>
  <sheetFormatPr defaultColWidth="4.88671875" defaultRowHeight="16.2" customHeight="1" x14ac:dyDescent="0.3"/>
  <cols>
    <col min="1" max="3" width="4.88671875" style="111"/>
    <col min="4" max="4" width="4.88671875" style="112"/>
    <col min="5" max="5" width="19.5546875" style="111" customWidth="1"/>
    <col min="6" max="6" width="5.109375" style="111" customWidth="1"/>
    <col min="7" max="24" width="7.33203125" style="111" customWidth="1"/>
    <col min="25" max="25" width="4.88671875" style="111"/>
    <col min="26" max="26" width="8.44140625" style="111" bestFit="1" customWidth="1"/>
    <col min="27" max="16384" width="4.88671875" style="111"/>
  </cols>
  <sheetData>
    <row r="1" spans="1:25" ht="16.2" hidden="1" customHeight="1" x14ac:dyDescent="0.3">
      <c r="A1" s="110" t="str">
        <f ca="1">MID(CELL("filename",A1),FIND("]",CELL("filename",A1))+1,255)</f>
        <v>SECTORAL ANALYSIS</v>
      </c>
      <c r="E1" s="113"/>
      <c r="F1" s="114"/>
      <c r="G1" s="114"/>
      <c r="H1" s="114"/>
      <c r="I1" s="114"/>
      <c r="J1" s="114"/>
      <c r="K1" s="114"/>
      <c r="L1" s="114"/>
      <c r="M1" s="114"/>
      <c r="N1" s="114"/>
      <c r="O1" s="114"/>
      <c r="P1" s="114"/>
      <c r="Q1" s="114"/>
      <c r="R1" s="114"/>
      <c r="S1" s="114"/>
      <c r="T1" s="114"/>
      <c r="U1" s="114"/>
      <c r="V1" s="114"/>
      <c r="W1" s="114"/>
      <c r="X1" s="115"/>
    </row>
    <row r="2" spans="1:25" ht="16.2" customHeight="1" thickTop="1" x14ac:dyDescent="0.3">
      <c r="A2" s="618">
        <f ca="1">IF(($A$3/1000000)&gt;1,1000000,IF(($A$3/1000)&gt;1,1000,1))</f>
        <v>1000</v>
      </c>
      <c r="E2" s="116"/>
      <c r="F2" s="117"/>
      <c r="G2" s="117"/>
      <c r="H2" s="117"/>
      <c r="I2" s="117"/>
      <c r="J2" s="117"/>
      <c r="K2" s="117"/>
      <c r="L2" s="117"/>
      <c r="M2" s="117"/>
      <c r="N2" s="117"/>
      <c r="O2" s="117"/>
      <c r="P2" s="117"/>
      <c r="Q2" s="117"/>
      <c r="R2" s="117"/>
      <c r="S2" s="117"/>
      <c r="T2" s="117"/>
      <c r="U2" s="117"/>
      <c r="V2" s="117"/>
      <c r="W2" s="117"/>
      <c r="X2" s="118"/>
    </row>
    <row r="3" spans="1:25" ht="26.4" customHeight="1" x14ac:dyDescent="0.3">
      <c r="A3" s="618">
        <f t="array" aca="1" ref="A3" ca="1">IFERROR(AVERAGE(IF(TYPE.no=5,(INDEX(DATA!T:T,MATCH(REP.yearsrange&amp;"."&amp;'ECONOMIC IMPACT'!$A$1&amp;"."&amp;TOTAL,REP.lookup,0))-INDEX(DATA!T:T,MATCH(REP.yearsrange&amp;"."&amp;'ECONOMIC IMPACT'!$A$1&amp;"."&amp;DV,REP.lookup,0))),INDEX(DATA!T:T,MATCH(REP.yearsrange&amp;"."&amp;'ECONOMIC IMPACT'!$A$1&amp;"."&amp;TYPE.userselected,REP.lookup,0)))),0)</f>
        <v>916094.92119228828</v>
      </c>
      <c r="E3" s="119"/>
      <c r="F3" s="120"/>
      <c r="G3" s="120"/>
      <c r="H3" s="120"/>
      <c r="I3" s="120"/>
      <c r="J3" s="120"/>
      <c r="K3" s="120"/>
      <c r="L3" s="120"/>
      <c r="M3" s="120"/>
      <c r="N3" s="120"/>
      <c r="O3" s="120"/>
      <c r="P3" s="120"/>
      <c r="Q3" s="120"/>
      <c r="R3" s="120"/>
      <c r="S3" s="120"/>
      <c r="T3" s="120"/>
      <c r="U3" s="120"/>
      <c r="V3" s="120"/>
      <c r="W3" s="120"/>
      <c r="X3" s="121"/>
    </row>
    <row r="4" spans="1:25" ht="26.4" customHeight="1" x14ac:dyDescent="0.3">
      <c r="E4" s="204"/>
      <c r="F4" s="205"/>
      <c r="G4" s="205"/>
      <c r="H4" s="205"/>
      <c r="I4" s="205"/>
      <c r="J4" s="205"/>
      <c r="K4" s="205"/>
      <c r="L4" s="205"/>
      <c r="M4" s="205"/>
      <c r="N4" s="205"/>
      <c r="O4" s="205"/>
      <c r="P4" s="205"/>
      <c r="Q4" s="205"/>
      <c r="R4" s="205"/>
      <c r="S4" s="205"/>
      <c r="T4" s="205"/>
      <c r="U4" s="205"/>
      <c r="V4" s="205"/>
      <c r="W4" s="205"/>
      <c r="X4" s="206"/>
    </row>
    <row r="5" spans="1:25" ht="26.4" customHeight="1" thickBot="1" x14ac:dyDescent="0.35">
      <c r="E5" s="207"/>
      <c r="F5" s="208"/>
      <c r="G5" s="208"/>
      <c r="H5" s="208"/>
      <c r="I5" s="208"/>
      <c r="J5" s="208"/>
      <c r="K5" s="208"/>
      <c r="L5" s="208"/>
      <c r="M5" s="208"/>
      <c r="N5" s="208"/>
      <c r="O5" s="208"/>
      <c r="P5" s="208"/>
      <c r="Q5" s="208"/>
      <c r="R5" s="208"/>
      <c r="S5" s="208"/>
      <c r="T5" s="208"/>
      <c r="U5" s="208"/>
      <c r="V5" s="208"/>
      <c r="W5" s="208"/>
      <c r="X5" s="209"/>
    </row>
    <row r="6" spans="1:25" ht="16.2" customHeight="1" thickTop="1" x14ac:dyDescent="0.3">
      <c r="E6" s="394" t="str">
        <f>REP.title1</f>
        <v>STEAM FINAL TREND REPORT FOR 2011-2022</v>
      </c>
      <c r="F6" s="395"/>
      <c r="G6" s="395"/>
      <c r="H6" s="395"/>
      <c r="I6" s="395"/>
      <c r="J6" s="395"/>
      <c r="K6" s="395"/>
      <c r="L6" s="395"/>
      <c r="M6" s="395"/>
      <c r="N6" s="1157"/>
      <c r="O6" s="1158"/>
      <c r="P6" s="1159" t="str">
        <f>MIN(REP.yearsrange)&amp;" to "&amp;MAX(REP.yearsrange)</f>
        <v>2011 to 2022</v>
      </c>
      <c r="Q6" s="1160"/>
      <c r="R6" s="1161"/>
      <c r="S6" s="1147" t="s">
        <v>38</v>
      </c>
      <c r="T6" s="1148"/>
      <c r="U6" s="1151" t="str">
        <f>IF(REP.indexed="YES","SECTORAL ANALYSIS"&amp;CHAR(10)&amp;"Indexed","SECTORAL ANALYSIS"&amp;CHAR(10)&amp;"Historic Prices")</f>
        <v>SECTORAL ANALYSIS
Indexed</v>
      </c>
      <c r="V6" s="1152"/>
      <c r="W6" s="1152"/>
      <c r="X6" s="1153"/>
    </row>
    <row r="7" spans="1:25" ht="16.2" customHeight="1" thickBot="1" x14ac:dyDescent="0.35">
      <c r="E7" s="396" t="str">
        <f>REP.title2</f>
        <v>GWYNEDD COUNCIL</v>
      </c>
      <c r="F7" s="397"/>
      <c r="G7" s="397"/>
      <c r="H7" s="397"/>
      <c r="I7" s="398"/>
      <c r="J7" s="398"/>
      <c r="K7" s="398"/>
      <c r="L7" s="398"/>
      <c r="M7" s="907"/>
      <c r="N7" s="907"/>
      <c r="O7" s="908"/>
      <c r="P7" s="1162" t="str">
        <f>IF(REP.indexed="YES",MAX(REP.yearsrange)&amp;" Prices","Historic Prices")</f>
        <v>2022 Prices</v>
      </c>
      <c r="Q7" s="1163"/>
      <c r="R7" s="1164"/>
      <c r="S7" s="1149"/>
      <c r="T7" s="1150"/>
      <c r="U7" s="1154"/>
      <c r="V7" s="1155"/>
      <c r="W7" s="1155"/>
      <c r="X7" s="1156"/>
    </row>
    <row r="8" spans="1:25" s="125" customFormat="1" ht="16.2" customHeight="1" thickTop="1" thickBot="1" x14ac:dyDescent="0.35">
      <c r="E8" s="1006" t="str">
        <f>UPPER('COMPARATIVE HEADLINES'!E25)</f>
        <v>SECTORAL DISTRIBUTION OF ECONOMIC IMPACT - £BN INCLUDING VAT INDEXED TO 2022</v>
      </c>
      <c r="F8" s="1007"/>
      <c r="G8" s="1007"/>
      <c r="H8" s="1007"/>
      <c r="I8" s="1007"/>
      <c r="J8" s="1007"/>
      <c r="K8" s="1007"/>
      <c r="L8" s="1007"/>
      <c r="M8" s="1007"/>
      <c r="N8" s="1007"/>
      <c r="O8" s="1007"/>
      <c r="P8" s="1007"/>
      <c r="Q8" s="1007"/>
      <c r="R8" s="1008"/>
      <c r="S8" s="1138"/>
      <c r="T8" s="1139"/>
      <c r="U8" s="1139"/>
      <c r="V8" s="1139"/>
      <c r="W8" s="1139"/>
      <c r="X8" s="1140"/>
    </row>
    <row r="9" spans="1:25" ht="16.2" customHeight="1" thickTop="1" thickBot="1" x14ac:dyDescent="0.35">
      <c r="E9" s="1136" t="s">
        <v>142</v>
      </c>
      <c r="F9" s="1137"/>
      <c r="G9" s="210">
        <f t="array" ref="G9:R9">TRANSPOSE(REP.yearsrange)</f>
        <v>2011</v>
      </c>
      <c r="H9" s="210">
        <v>2012</v>
      </c>
      <c r="I9" s="210">
        <v>2013</v>
      </c>
      <c r="J9" s="210">
        <v>2014</v>
      </c>
      <c r="K9" s="210">
        <v>2015</v>
      </c>
      <c r="L9" s="210">
        <v>2016</v>
      </c>
      <c r="M9" s="210">
        <v>2017</v>
      </c>
      <c r="N9" s="210">
        <v>2018</v>
      </c>
      <c r="O9" s="210">
        <v>2019</v>
      </c>
      <c r="P9" s="210">
        <v>2020</v>
      </c>
      <c r="Q9" s="210">
        <v>2021</v>
      </c>
      <c r="R9" s="210">
        <v>2022</v>
      </c>
      <c r="S9" s="211">
        <f>CHARTYEAR</f>
        <v>2022</v>
      </c>
      <c r="T9" s="212"/>
      <c r="U9" s="213"/>
      <c r="V9" s="213"/>
      <c r="W9" s="213"/>
      <c r="X9" s="213"/>
    </row>
    <row r="10" spans="1:25" ht="16.2" customHeight="1" thickTop="1" thickBot="1" x14ac:dyDescent="0.35">
      <c r="E10" s="214" t="s">
        <v>23</v>
      </c>
      <c r="F10" s="194" t="str">
        <f ca="1">IF($A$2=1,"£000s",IF(A2=1000,"£M","£Bn"))</f>
        <v>£M</v>
      </c>
      <c r="G10" s="642">
        <f t="array" aca="1" ref="G10:G19" ca="1">IFERROR(INDEX(DATA!$T:$T,MATCH(G$9&amp;".ECONOMIC IMPACT."&amp;$E10:$E19,REP.lookup,0))*INDEX(REP.indexationfactors,MATCH(G$9,REP.yearsrange,0))/$A$2,"")</f>
        <v>142.04616728187557</v>
      </c>
      <c r="H10" s="642">
        <f t="array" aca="1" ref="H10:H19" ca="1">IFERROR(INDEX(DATA!$T:$T,MATCH(H$9&amp;".ECONOMIC IMPACT."&amp;$E10:$E19,REP.lookup,0))*INDEX(REP.indexationfactors,MATCH(H$9,REP.yearsrange,0))/$A$2,"")</f>
        <v>135.19097254085889</v>
      </c>
      <c r="I10" s="642">
        <f t="array" aca="1" ref="I10:I19" ca="1">IFERROR(INDEX(DATA!$T:$T,MATCH(I$9&amp;".ECONOMIC IMPACT."&amp;$E10:$E19,REP.lookup,0))*INDEX(REP.indexationfactors,MATCH(I$9,REP.yearsrange,0))/$A$2,"")</f>
        <v>146.74304928469735</v>
      </c>
      <c r="J10" s="642">
        <f t="array" aca="1" ref="J10:J19" ca="1">IFERROR(INDEX(DATA!$T:$T,MATCH(J$9&amp;".ECONOMIC IMPACT."&amp;$E10:$E19,REP.lookup,0))*INDEX(REP.indexationfactors,MATCH(J$9,REP.yearsrange,0))/$A$2,"")</f>
        <v>151.77053243898393</v>
      </c>
      <c r="K10" s="642">
        <f t="array" aca="1" ref="K10:K19" ca="1">IFERROR(INDEX(DATA!$T:$T,MATCH(K$9&amp;".ECONOMIC IMPACT."&amp;$E10:$E19,REP.lookup,0))*INDEX(REP.indexationfactors,MATCH(K$9,REP.yearsrange,0))/$A$2,"")</f>
        <v>148.16327521614298</v>
      </c>
      <c r="L10" s="642">
        <f t="array" aca="1" ref="L10:L19" ca="1">IFERROR(INDEX(DATA!$T:$T,MATCH(L$9&amp;".ECONOMIC IMPACT."&amp;$E10:$E19,REP.lookup,0))*INDEX(REP.indexationfactors,MATCH(L$9,REP.yearsrange,0))/$A$2,"")</f>
        <v>154.74863633402632</v>
      </c>
      <c r="M10" s="642">
        <f t="array" aca="1" ref="M10:M19" ca="1">IFERROR(INDEX(DATA!$T:$T,MATCH(M$9&amp;".ECONOMIC IMPACT."&amp;$E10:$E19,REP.lookup,0))*INDEX(REP.indexationfactors,MATCH(M$9,REP.yearsrange,0))/$A$2,"")</f>
        <v>165.88198132105504</v>
      </c>
      <c r="N10" s="642">
        <f t="array" aca="1" ref="N10:N19" ca="1">IFERROR(INDEX(DATA!$T:$T,MATCH(N$9&amp;".ECONOMIC IMPACT."&amp;$E10:$E19,REP.lookup,0))*INDEX(REP.indexationfactors,MATCH(N$9,REP.yearsrange,0))/$A$2,"")</f>
        <v>207.71155465822184</v>
      </c>
      <c r="O10" s="642">
        <f t="array" aca="1" ref="O10:O19" ca="1">IFERROR(INDEX(DATA!$T:$T,MATCH(O$9&amp;".ECONOMIC IMPACT."&amp;$E10:$E19,REP.lookup,0))*INDEX(REP.indexationfactors,MATCH(O$9,REP.yearsrange,0))/$A$2,"")</f>
        <v>262.24184905343685</v>
      </c>
      <c r="P10" s="642">
        <f t="array" aca="1" ref="P10:P19" ca="1">IFERROR(INDEX(DATA!$T:$T,MATCH(P$9&amp;".ECONOMIC IMPACT."&amp;$E10:$E19,REP.lookup,0))*INDEX(REP.indexationfactors,MATCH(P$9,REP.yearsrange,0))/$A$2,"")</f>
        <v>118.31906544704964</v>
      </c>
      <c r="Q10" s="642">
        <f t="array" aca="1" ref="Q10:Q19" ca="1">IFERROR(INDEX(DATA!$T:$T,MATCH(Q$9&amp;".ECONOMIC IMPACT."&amp;$E10:$E19,REP.lookup,0))*INDEX(REP.indexationfactors,MATCH(Q$9,REP.yearsrange,0))/$A$2,"")</f>
        <v>267.28642720747388</v>
      </c>
      <c r="R10" s="642">
        <f t="array" aca="1" ref="R10:R19" ca="1">IFERROR(INDEX(DATA!$T:$T,MATCH(R$9&amp;".ECONOMIC IMPACT."&amp;$E10:$E19,REP.lookup,0))*INDEX(REP.indexationfactors,MATCH(R$9,REP.yearsrange,0))/$A$2,"")</f>
        <v>262.58610903159661</v>
      </c>
      <c r="S10" s="360">
        <f ca="1">INDEX($G10:$R10,0,MATCH($S$9,$G$9:$R$9,0))</f>
        <v>262.58610903159661</v>
      </c>
      <c r="T10" s="216">
        <f t="shared" ref="T10:T19" ca="1" si="0">S10/$S$19</f>
        <v>0.1723637771918039</v>
      </c>
      <c r="U10" s="217" t="str">
        <f ca="1">E10&amp;" ("&amp;TEXT(T10,"0.0%")&amp;")"</f>
        <v>Accommodation (17.2%)</v>
      </c>
      <c r="V10" s="215"/>
      <c r="W10" s="215"/>
      <c r="X10" s="215"/>
      <c r="Y10" s="218"/>
    </row>
    <row r="11" spans="1:25" ht="16.2" customHeight="1" thickTop="1" thickBot="1" x14ac:dyDescent="0.35">
      <c r="E11" s="219" t="s">
        <v>49</v>
      </c>
      <c r="F11" s="194" t="str">
        <f ca="1">$F$10</f>
        <v>£M</v>
      </c>
      <c r="G11" s="642">
        <f ca="1"/>
        <v>199.50410651730024</v>
      </c>
      <c r="H11" s="642">
        <f ca="1"/>
        <v>179.01569900048605</v>
      </c>
      <c r="I11" s="642">
        <f ca="1"/>
        <v>185.97467259010946</v>
      </c>
      <c r="J11" s="642">
        <f ca="1"/>
        <v>191.93677211948327</v>
      </c>
      <c r="K11" s="642">
        <f ca="1"/>
        <v>188.56684776506785</v>
      </c>
      <c r="L11" s="642">
        <f ca="1"/>
        <v>194.65509796932849</v>
      </c>
      <c r="M11" s="642">
        <f ca="1"/>
        <v>200.74429888751794</v>
      </c>
      <c r="N11" s="642">
        <f ca="1"/>
        <v>203.51717338379837</v>
      </c>
      <c r="O11" s="642">
        <f ca="1"/>
        <v>212.29161441015648</v>
      </c>
      <c r="P11" s="642">
        <f ca="1"/>
        <v>91.906937415513909</v>
      </c>
      <c r="Q11" s="642">
        <f ca="1"/>
        <v>175.76843960604316</v>
      </c>
      <c r="R11" s="642">
        <f ca="1"/>
        <v>216.39333829276507</v>
      </c>
      <c r="S11" s="360">
        <f t="shared" ref="S11:S19" ca="1" si="1">INDEX($G11:$R11,0,MATCH($S$9,$G$9:$R$9,0))</f>
        <v>216.39333829276507</v>
      </c>
      <c r="T11" s="216">
        <f t="shared" ca="1" si="0"/>
        <v>0.14204244575175431</v>
      </c>
      <c r="U11" s="217" t="str">
        <f t="shared" ref="U11:U19" ca="1" si="2">E11&amp;" ("&amp;TEXT(T11,"0.0%")&amp;")"</f>
        <v>Food &amp; Drink (14.2%)</v>
      </c>
      <c r="V11" s="215"/>
      <c r="W11" s="215"/>
      <c r="X11" s="215"/>
    </row>
    <row r="12" spans="1:25" ht="16.2" customHeight="1" thickTop="1" thickBot="1" x14ac:dyDescent="0.35">
      <c r="E12" s="220" t="s">
        <v>50</v>
      </c>
      <c r="F12" s="194" t="str">
        <f t="shared" ref="F12:F19" ca="1" si="3">$F$10</f>
        <v>£M</v>
      </c>
      <c r="G12" s="642">
        <f ca="1"/>
        <v>82.293547564439166</v>
      </c>
      <c r="H12" s="642">
        <f ca="1"/>
        <v>69.037271442873063</v>
      </c>
      <c r="I12" s="642">
        <f ca="1"/>
        <v>65.590250122630081</v>
      </c>
      <c r="J12" s="642">
        <f ca="1"/>
        <v>68.45909625505611</v>
      </c>
      <c r="K12" s="642">
        <f ca="1"/>
        <v>66.625739957523507</v>
      </c>
      <c r="L12" s="642">
        <f ca="1"/>
        <v>69.852749385938608</v>
      </c>
      <c r="M12" s="642">
        <f ca="1"/>
        <v>72.127115193432687</v>
      </c>
      <c r="N12" s="642">
        <f ca="1"/>
        <v>71.438175457224901</v>
      </c>
      <c r="O12" s="642">
        <f ca="1"/>
        <v>74.566006819687317</v>
      </c>
      <c r="P12" s="642">
        <f ca="1"/>
        <v>31.552667652200288</v>
      </c>
      <c r="Q12" s="642">
        <f ca="1"/>
        <v>71.610494350623981</v>
      </c>
      <c r="R12" s="642">
        <f ca="1"/>
        <v>75.9096843924127</v>
      </c>
      <c r="S12" s="360">
        <f t="shared" ca="1" si="1"/>
        <v>75.9096843924127</v>
      </c>
      <c r="T12" s="216">
        <f t="shared" ca="1" si="0"/>
        <v>4.9827768786274942E-2</v>
      </c>
      <c r="U12" s="217" t="str">
        <f t="shared" ca="1" si="2"/>
        <v>Recreation (5.0%)</v>
      </c>
      <c r="V12" s="215"/>
      <c r="W12" s="215"/>
      <c r="X12" s="215"/>
    </row>
    <row r="13" spans="1:25" ht="16.2" customHeight="1" thickTop="1" thickBot="1" x14ac:dyDescent="0.35">
      <c r="E13" s="221" t="s">
        <v>51</v>
      </c>
      <c r="F13" s="194" t="str">
        <f t="shared" ca="1" si="3"/>
        <v>£M</v>
      </c>
      <c r="G13" s="642">
        <f ca="1"/>
        <v>267.45868067095876</v>
      </c>
      <c r="H13" s="642">
        <f ca="1"/>
        <v>238.39425693418841</v>
      </c>
      <c r="I13" s="642">
        <f ca="1"/>
        <v>244.72777164816634</v>
      </c>
      <c r="J13" s="642">
        <f ca="1"/>
        <v>255.51478808443369</v>
      </c>
      <c r="K13" s="642">
        <f ca="1"/>
        <v>250.42015060136433</v>
      </c>
      <c r="L13" s="642">
        <f ca="1"/>
        <v>255.83257253119223</v>
      </c>
      <c r="M13" s="642">
        <f ca="1"/>
        <v>265.10978732774532</v>
      </c>
      <c r="N13" s="642">
        <f ca="1"/>
        <v>272.14599927880448</v>
      </c>
      <c r="O13" s="642">
        <f ca="1"/>
        <v>279.15763505541247</v>
      </c>
      <c r="P13" s="642">
        <f ca="1"/>
        <v>120.0888064355358</v>
      </c>
      <c r="Q13" s="642">
        <f ca="1"/>
        <v>211.32281324583192</v>
      </c>
      <c r="R13" s="642">
        <f ca="1"/>
        <v>282.29645440952856</v>
      </c>
      <c r="S13" s="360">
        <f t="shared" ca="1" si="1"/>
        <v>282.29645440952856</v>
      </c>
      <c r="T13" s="216">
        <f t="shared" ca="1" si="0"/>
        <v>0.18530181718037989</v>
      </c>
      <c r="U13" s="217" t="str">
        <f t="shared" ca="1" si="2"/>
        <v>Shopping (18.5%)</v>
      </c>
      <c r="V13" s="215"/>
      <c r="W13" s="215"/>
      <c r="X13" s="215"/>
    </row>
    <row r="14" spans="1:25" ht="16.2" customHeight="1" thickTop="1" thickBot="1" x14ac:dyDescent="0.35">
      <c r="E14" s="222" t="s">
        <v>52</v>
      </c>
      <c r="F14" s="194" t="str">
        <f t="shared" ca="1" si="3"/>
        <v>£M</v>
      </c>
      <c r="G14" s="642">
        <f ca="1"/>
        <v>101.1176492667644</v>
      </c>
      <c r="H14" s="642">
        <f ca="1"/>
        <v>88.089922460800125</v>
      </c>
      <c r="I14" s="642">
        <f ca="1"/>
        <v>87.927751930071906</v>
      </c>
      <c r="J14" s="642">
        <f ca="1"/>
        <v>91.247570833918417</v>
      </c>
      <c r="K14" s="642">
        <f ca="1"/>
        <v>89.343546965563291</v>
      </c>
      <c r="L14" s="642">
        <f ca="1"/>
        <v>92.540854511304687</v>
      </c>
      <c r="M14" s="642">
        <f ca="1"/>
        <v>95.484757924912955</v>
      </c>
      <c r="N14" s="642">
        <f ca="1"/>
        <v>95.757493593155161</v>
      </c>
      <c r="O14" s="642">
        <f ca="1"/>
        <v>99.203777752606015</v>
      </c>
      <c r="P14" s="642">
        <f ca="1"/>
        <v>40.435233052803845</v>
      </c>
      <c r="Q14" s="642">
        <f ca="1"/>
        <v>79.384175412764748</v>
      </c>
      <c r="R14" s="642">
        <f ca="1"/>
        <v>100.25945003865135</v>
      </c>
      <c r="S14" s="360">
        <f t="shared" ca="1" si="1"/>
        <v>100.25945003865135</v>
      </c>
      <c r="T14" s="216">
        <f t="shared" ca="1" si="0"/>
        <v>6.5811164084675508E-2</v>
      </c>
      <c r="U14" s="217" t="str">
        <f t="shared" ca="1" si="2"/>
        <v>Transport (6.6%)</v>
      </c>
      <c r="V14" s="215"/>
      <c r="W14" s="215"/>
      <c r="X14" s="215"/>
    </row>
    <row r="15" spans="1:25" ht="16.2" customHeight="1" thickTop="1" thickBot="1" x14ac:dyDescent="0.35">
      <c r="E15" s="223" t="s">
        <v>46</v>
      </c>
      <c r="F15" s="194" t="str">
        <f t="shared" ca="1" si="3"/>
        <v>£M</v>
      </c>
      <c r="G15" s="643">
        <f ca="1"/>
        <v>792.42015130133836</v>
      </c>
      <c r="H15" s="643">
        <f ca="1"/>
        <v>709.72812237920652</v>
      </c>
      <c r="I15" s="643">
        <f ca="1"/>
        <v>730.96349557567532</v>
      </c>
      <c r="J15" s="643">
        <f ca="1"/>
        <v>758.92875973187552</v>
      </c>
      <c r="K15" s="643">
        <f ca="1"/>
        <v>743.11956050566209</v>
      </c>
      <c r="L15" s="643">
        <f ca="1"/>
        <v>767.62991073179035</v>
      </c>
      <c r="M15" s="643">
        <f ca="1"/>
        <v>799.34794065466394</v>
      </c>
      <c r="N15" s="643">
        <f ca="1"/>
        <v>850.57039637120465</v>
      </c>
      <c r="O15" s="643">
        <f ca="1"/>
        <v>927.46088309129914</v>
      </c>
      <c r="P15" s="643">
        <f ca="1"/>
        <v>402.30271000310341</v>
      </c>
      <c r="Q15" s="643">
        <f ca="1"/>
        <v>805.37234982273776</v>
      </c>
      <c r="R15" s="643">
        <f ca="1"/>
        <v>937.44503616495433</v>
      </c>
      <c r="S15" s="360">
        <f t="shared" ca="1" si="1"/>
        <v>937.44503616495433</v>
      </c>
      <c r="T15" s="216">
        <f t="shared" ca="1" si="0"/>
        <v>0.61534697299488861</v>
      </c>
      <c r="U15" s="217" t="str">
        <f t="shared" ca="1" si="2"/>
        <v>Direct Revenue (61.5%)</v>
      </c>
      <c r="V15" s="215"/>
      <c r="W15" s="215"/>
      <c r="X15" s="215"/>
    </row>
    <row r="16" spans="1:25" ht="16.2" customHeight="1" thickTop="1" thickBot="1" x14ac:dyDescent="0.35">
      <c r="E16" s="359" t="s">
        <v>47</v>
      </c>
      <c r="F16" s="194" t="str">
        <f t="shared" ca="1" si="3"/>
        <v>£M</v>
      </c>
      <c r="G16" s="642">
        <f ca="1"/>
        <v>158.48403026026767</v>
      </c>
      <c r="H16" s="642">
        <f ca="1"/>
        <v>141.94562447584136</v>
      </c>
      <c r="I16" s="642">
        <f ca="1"/>
        <v>146.19269911513504</v>
      </c>
      <c r="J16" s="642">
        <f ca="1"/>
        <v>151.78575194637506</v>
      </c>
      <c r="K16" s="642">
        <f ca="1"/>
        <v>148.62391210113239</v>
      </c>
      <c r="L16" s="642">
        <f ca="1"/>
        <v>153.52598214635805</v>
      </c>
      <c r="M16" s="642">
        <f ca="1"/>
        <v>159.86958813093278</v>
      </c>
      <c r="N16" s="642">
        <f ca="1"/>
        <v>170.11407927424096</v>
      </c>
      <c r="O16" s="642">
        <f ca="1"/>
        <v>185.49217661825983</v>
      </c>
      <c r="P16" s="642">
        <f ca="1"/>
        <v>57.637899697778195</v>
      </c>
      <c r="Q16" s="642">
        <f ca="1"/>
        <v>100.50022733222457</v>
      </c>
      <c r="R16" s="642">
        <f ca="1"/>
        <v>181.57769820406776</v>
      </c>
      <c r="S16" s="360">
        <f t="shared" ca="1" si="1"/>
        <v>181.57769820406776</v>
      </c>
      <c r="T16" s="216">
        <f t="shared" ca="1" si="0"/>
        <v>0.11918916058305497</v>
      </c>
      <c r="U16" s="217" t="str">
        <f t="shared" ca="1" si="2"/>
        <v>VAT (11.9%)</v>
      </c>
      <c r="V16" s="215"/>
      <c r="W16" s="215"/>
      <c r="X16" s="215"/>
    </row>
    <row r="17" spans="4:24" ht="16.2" customHeight="1" thickTop="1" thickBot="1" x14ac:dyDescent="0.35">
      <c r="E17" s="224" t="s">
        <v>44</v>
      </c>
      <c r="F17" s="194" t="str">
        <f t="shared" ca="1" si="3"/>
        <v>£M</v>
      </c>
      <c r="G17" s="644">
        <f ca="1"/>
        <v>950.90418156160592</v>
      </c>
      <c r="H17" s="644">
        <f ca="1"/>
        <v>851.67374685504797</v>
      </c>
      <c r="I17" s="644">
        <f ca="1"/>
        <v>877.15619469081003</v>
      </c>
      <c r="J17" s="644">
        <f ca="1"/>
        <v>910.71451167825046</v>
      </c>
      <c r="K17" s="644">
        <f ca="1"/>
        <v>891.7434726067944</v>
      </c>
      <c r="L17" s="644">
        <f ca="1"/>
        <v>921.15589287814851</v>
      </c>
      <c r="M17" s="644">
        <f ca="1"/>
        <v>959.21752878559664</v>
      </c>
      <c r="N17" s="644">
        <f ca="1"/>
        <v>1020.6844756454456</v>
      </c>
      <c r="O17" s="644">
        <f ca="1"/>
        <v>1112.9530597095588</v>
      </c>
      <c r="P17" s="644">
        <f ca="1"/>
        <v>459.94060970088157</v>
      </c>
      <c r="Q17" s="644">
        <f ca="1"/>
        <v>905.87257715496219</v>
      </c>
      <c r="R17" s="644">
        <f ca="1"/>
        <v>1119.0227343690219</v>
      </c>
      <c r="S17" s="360">
        <f t="shared" ca="1" si="1"/>
        <v>1119.0227343690219</v>
      </c>
      <c r="T17" s="216">
        <f t="shared" ca="1" si="0"/>
        <v>0.73453613357794345</v>
      </c>
      <c r="U17" s="217" t="str">
        <f t="shared" ca="1" si="2"/>
        <v>Direct Expenditure (73.5%)</v>
      </c>
      <c r="V17" s="215"/>
      <c r="W17" s="215"/>
      <c r="X17" s="215"/>
    </row>
    <row r="18" spans="4:24" ht="16.2" customHeight="1" thickTop="1" thickBot="1" x14ac:dyDescent="0.35">
      <c r="E18" s="225" t="s">
        <v>45</v>
      </c>
      <c r="F18" s="194" t="str">
        <f t="shared" ca="1" si="3"/>
        <v>£M</v>
      </c>
      <c r="G18" s="645">
        <f ca="1"/>
        <v>320.10256879092555</v>
      </c>
      <c r="H18" s="645">
        <f ca="1"/>
        <v>286.57240204039607</v>
      </c>
      <c r="I18" s="645">
        <f ca="1"/>
        <v>301.39800451671476</v>
      </c>
      <c r="J18" s="645">
        <f ca="1"/>
        <v>315.90603227460565</v>
      </c>
      <c r="K18" s="645">
        <f ca="1"/>
        <v>307.32450542587594</v>
      </c>
      <c r="L18" s="645">
        <f ca="1"/>
        <v>315.60920604266954</v>
      </c>
      <c r="M18" s="645">
        <f ca="1"/>
        <v>332.46568427879976</v>
      </c>
      <c r="N18" s="645">
        <f ca="1"/>
        <v>363.53495664257565</v>
      </c>
      <c r="O18" s="645">
        <f ca="1"/>
        <v>403.95314725255599</v>
      </c>
      <c r="P18" s="645">
        <f ca="1"/>
        <v>169.15174508179069</v>
      </c>
      <c r="Q18" s="645">
        <f ca="1"/>
        <v>330.71052027128945</v>
      </c>
      <c r="R18" s="645">
        <f ca="1"/>
        <v>404.41863660647363</v>
      </c>
      <c r="S18" s="360">
        <f t="shared" ca="1" si="1"/>
        <v>404.41863660647363</v>
      </c>
      <c r="T18" s="216">
        <f t="shared" ca="1" si="0"/>
        <v>0.26546386642205655</v>
      </c>
      <c r="U18" s="217" t="str">
        <f t="shared" ca="1" si="2"/>
        <v>Indirect Expenditure (26.5%)</v>
      </c>
      <c r="V18" s="215"/>
      <c r="W18" s="215"/>
      <c r="X18" s="215"/>
    </row>
    <row r="19" spans="4:24" ht="16.2" customHeight="1" thickTop="1" thickBot="1" x14ac:dyDescent="0.35">
      <c r="E19" s="226" t="s">
        <v>38</v>
      </c>
      <c r="F19" s="194" t="str">
        <f t="shared" ca="1" si="3"/>
        <v>£M</v>
      </c>
      <c r="G19" s="646">
        <f ca="1"/>
        <v>1271.0067503525315</v>
      </c>
      <c r="H19" s="646">
        <f ca="1"/>
        <v>1138.2461488954439</v>
      </c>
      <c r="I19" s="646">
        <f ca="1"/>
        <v>1178.554199207525</v>
      </c>
      <c r="J19" s="646">
        <f ca="1"/>
        <v>1226.6205439528562</v>
      </c>
      <c r="K19" s="646">
        <f ca="1"/>
        <v>1199.0679780326702</v>
      </c>
      <c r="L19" s="646">
        <f ca="1"/>
        <v>1236.7650989208178</v>
      </c>
      <c r="M19" s="646">
        <f ca="1"/>
        <v>1291.6832130643966</v>
      </c>
      <c r="N19" s="646">
        <f ca="1"/>
        <v>1384.2194322880209</v>
      </c>
      <c r="O19" s="646">
        <f ca="1"/>
        <v>1516.9062069621152</v>
      </c>
      <c r="P19" s="646">
        <f ca="1"/>
        <v>629.09235478267237</v>
      </c>
      <c r="Q19" s="646">
        <f ca="1"/>
        <v>1236.5830974262517</v>
      </c>
      <c r="R19" s="646">
        <f ca="1"/>
        <v>1523.4413709754956</v>
      </c>
      <c r="S19" s="360">
        <f t="shared" ca="1" si="1"/>
        <v>1523.4413709754956</v>
      </c>
      <c r="T19" s="216">
        <f t="shared" ca="1" si="0"/>
        <v>1</v>
      </c>
      <c r="U19" s="217" t="str">
        <f t="shared" ca="1" si="2"/>
        <v>TOTAL (100.0%)</v>
      </c>
      <c r="V19" s="227"/>
      <c r="W19" s="227"/>
      <c r="X19" s="227"/>
    </row>
    <row r="20" spans="4:24" ht="16.2" customHeight="1" thickTop="1" thickBot="1" x14ac:dyDescent="0.35">
      <c r="E20" s="228"/>
      <c r="F20" s="229"/>
      <c r="G20" s="647"/>
      <c r="H20" s="647"/>
      <c r="I20" s="647"/>
      <c r="J20" s="647"/>
      <c r="K20" s="647"/>
      <c r="L20" s="647"/>
      <c r="M20" s="647"/>
      <c r="N20" s="647"/>
      <c r="O20" s="647"/>
      <c r="P20" s="647"/>
      <c r="Q20" s="647"/>
      <c r="R20" s="647"/>
      <c r="S20" s="360"/>
      <c r="T20" s="230"/>
      <c r="U20" s="227"/>
      <c r="V20" s="227"/>
      <c r="W20" s="227"/>
      <c r="X20" s="227"/>
    </row>
    <row r="21" spans="4:24" ht="16.2" customHeight="1" thickTop="1" thickBot="1" x14ac:dyDescent="0.35">
      <c r="D21" s="196"/>
      <c r="E21" s="228"/>
      <c r="F21" s="229"/>
      <c r="G21" s="648"/>
      <c r="H21" s="648"/>
      <c r="I21" s="648"/>
      <c r="J21" s="648"/>
      <c r="K21" s="648"/>
      <c r="L21" s="648"/>
      <c r="M21" s="648"/>
      <c r="N21" s="648"/>
      <c r="O21" s="648"/>
      <c r="P21" s="648"/>
      <c r="Q21" s="648"/>
      <c r="R21" s="648"/>
      <c r="S21" s="360"/>
      <c r="T21" s="231"/>
      <c r="U21" s="231"/>
      <c r="V21" s="231"/>
      <c r="W21" s="231"/>
      <c r="X21" s="231"/>
    </row>
    <row r="22" spans="4:24" ht="16.2" customHeight="1" thickTop="1" thickBot="1" x14ac:dyDescent="0.35">
      <c r="D22" s="196"/>
      <c r="E22" s="228"/>
      <c r="F22" s="229"/>
      <c r="G22" s="648"/>
      <c r="H22" s="648"/>
      <c r="I22" s="648"/>
      <c r="J22" s="648"/>
      <c r="K22" s="648"/>
      <c r="L22" s="648"/>
      <c r="M22" s="648"/>
      <c r="N22" s="648"/>
      <c r="O22" s="648"/>
      <c r="P22" s="648"/>
      <c r="Q22" s="648"/>
      <c r="R22" s="648"/>
      <c r="S22" s="676"/>
      <c r="T22" s="677"/>
      <c r="U22" s="677"/>
      <c r="V22" s="677"/>
      <c r="W22" s="677"/>
      <c r="X22" s="678"/>
    </row>
    <row r="23" spans="4:24" ht="16.2" customHeight="1" thickTop="1" thickBot="1" x14ac:dyDescent="0.35">
      <c r="E23" s="1144" t="str">
        <f>UPPER('COMPARATIVE HEADLINES'!P25)</f>
        <v>SECTORAL DISTRIBUTION OF EMPLOYMENT - FTES</v>
      </c>
      <c r="F23" s="1145"/>
      <c r="G23" s="1145"/>
      <c r="H23" s="1145"/>
      <c r="I23" s="1145"/>
      <c r="J23" s="1145"/>
      <c r="K23" s="1145"/>
      <c r="L23" s="1145"/>
      <c r="M23" s="1145"/>
      <c r="N23" s="1145"/>
      <c r="O23" s="1145"/>
      <c r="P23" s="1145"/>
      <c r="Q23" s="1145"/>
      <c r="R23" s="1146"/>
      <c r="S23" s="1141"/>
      <c r="T23" s="1142"/>
      <c r="U23" s="1142"/>
      <c r="V23" s="1142"/>
      <c r="W23" s="1142"/>
      <c r="X23" s="1143"/>
    </row>
    <row r="24" spans="4:24" ht="16.2" customHeight="1" thickTop="1" thickBot="1" x14ac:dyDescent="0.35">
      <c r="E24" s="1136" t="s">
        <v>142</v>
      </c>
      <c r="F24" s="1137"/>
      <c r="G24" s="210">
        <f t="array" ref="G24:R24">TRANSPOSE(REP.yearsrange)</f>
        <v>2011</v>
      </c>
      <c r="H24" s="210">
        <v>2012</v>
      </c>
      <c r="I24" s="210">
        <v>2013</v>
      </c>
      <c r="J24" s="210">
        <v>2014</v>
      </c>
      <c r="K24" s="210">
        <v>2015</v>
      </c>
      <c r="L24" s="210">
        <v>2016</v>
      </c>
      <c r="M24" s="210">
        <v>2017</v>
      </c>
      <c r="N24" s="210">
        <v>2018</v>
      </c>
      <c r="O24" s="210">
        <v>2019</v>
      </c>
      <c r="P24" s="210">
        <v>2020</v>
      </c>
      <c r="Q24" s="210">
        <v>2021</v>
      </c>
      <c r="R24" s="210">
        <v>2022</v>
      </c>
      <c r="S24" s="232">
        <f>CHARTYEAR</f>
        <v>2022</v>
      </c>
      <c r="T24" s="231"/>
      <c r="U24" s="231"/>
      <c r="V24" s="231"/>
      <c r="W24" s="231"/>
      <c r="X24" s="231"/>
    </row>
    <row r="25" spans="4:24" ht="16.2" customHeight="1" thickTop="1" thickBot="1" x14ac:dyDescent="0.35">
      <c r="E25" s="214" t="s">
        <v>23</v>
      </c>
      <c r="F25" s="194" t="s">
        <v>59</v>
      </c>
      <c r="G25" s="649">
        <f t="array" ref="G25:G32">IFERROR(INDEX(DATA!$T:$T,MATCH(G$9&amp;".Employment."&amp;$E25:$E32,REP.lookup,0)),"")</f>
        <v>3653.0113971286123</v>
      </c>
      <c r="H25" s="649">
        <f t="array" ref="H25:H32">IFERROR(INDEX(DATA!$T:$T,MATCH(H$9&amp;".Employment."&amp;$E25:$E32,REP.lookup,0)),"")</f>
        <v>3654.7848177608666</v>
      </c>
      <c r="I25" s="649">
        <f t="array" ref="I25:I32">IFERROR(INDEX(DATA!$T:$T,MATCH(I$9&amp;".Employment."&amp;$E25:$E32,REP.lookup,0)),"")</f>
        <v>4450.0489234640308</v>
      </c>
      <c r="J25" s="649">
        <f t="array" ref="J25:J32">IFERROR(INDEX(DATA!$T:$T,MATCH(J$9&amp;".Employment."&amp;$E25:$E32,REP.lookup,0)),"")</f>
        <v>4573.3740350795879</v>
      </c>
      <c r="K25" s="649">
        <f t="array" ref="K25:K32">IFERROR(INDEX(DATA!$T:$T,MATCH(K$9&amp;".Employment."&amp;$E25:$E32,REP.lookup,0)),"")</f>
        <v>4636.2170287686522</v>
      </c>
      <c r="L25" s="649">
        <f t="array" ref="L25:L32">IFERROR(INDEX(DATA!$T:$T,MATCH(L$9&amp;".Employment."&amp;$E25:$E32,REP.lookup,0)),"")</f>
        <v>4567.4784637975145</v>
      </c>
      <c r="M25" s="649">
        <f t="array" ref="M25:M32">IFERROR(INDEX(DATA!$T:$T,MATCH(M$9&amp;".Employment."&amp;$E25:$E32,REP.lookup,0)),"")</f>
        <v>4534.214190218775</v>
      </c>
      <c r="N25" s="649">
        <f t="array" ref="N25:N32">IFERROR(INDEX(DATA!$T:$T,MATCH(N$9&amp;".Employment."&amp;$E25:$E32,REP.lookup,0)),"")</f>
        <v>5890.7556445800647</v>
      </c>
      <c r="O25" s="649">
        <f t="array" ref="O25:O32">IFERROR(INDEX(DATA!$T:$T,MATCH(O$9&amp;".Employment."&amp;$E25:$E32,REP.lookup,0)),"")</f>
        <v>5830.3081760576242</v>
      </c>
      <c r="P25" s="649">
        <f t="array" ref="P25:P32">IFERROR(INDEX(DATA!$T:$T,MATCH(P$9&amp;".Employment."&amp;$E25:$E32,REP.lookup,0)),"")</f>
        <v>3237.0237605376351</v>
      </c>
      <c r="Q25" s="649">
        <f t="array" ref="Q25:Q32">IFERROR(INDEX(DATA!$T:$T,MATCH(Q$9&amp;".Employment."&amp;$E25:$E32,REP.lookup,0)),"")</f>
        <v>4819.580865664605</v>
      </c>
      <c r="R25" s="649">
        <f t="array" ref="R25:R32">IFERROR(INDEX(DATA!$T:$T,MATCH(R$9&amp;".Employment."&amp;$E25:$E32,REP.lookup,0)),"")</f>
        <v>5875.3451959867552</v>
      </c>
      <c r="S25" s="233">
        <f>INDEX($G25:$R25,0,MATCH($S$9,$G$9:$R$9,0))</f>
        <v>5875.3451959867552</v>
      </c>
      <c r="T25" s="234">
        <f t="shared" ref="T25:T32" si="4">S25/$S$32</f>
        <v>0.33125488502467948</v>
      </c>
      <c r="U25" s="217" t="str">
        <f>E25&amp;" ("&amp;TEXT(T25,"0.0%")&amp;")"</f>
        <v>Accommodation (33.1%)</v>
      </c>
      <c r="V25" s="231"/>
      <c r="W25" s="231"/>
      <c r="X25" s="231"/>
    </row>
    <row r="26" spans="4:24" ht="16.2" customHeight="1" thickTop="1" thickBot="1" x14ac:dyDescent="0.35">
      <c r="E26" s="219" t="s">
        <v>49</v>
      </c>
      <c r="F26" s="194" t="s">
        <v>59</v>
      </c>
      <c r="G26" s="649">
        <v>3074.0629806569868</v>
      </c>
      <c r="H26" s="649">
        <v>2758.2678436152733</v>
      </c>
      <c r="I26" s="649">
        <v>2865.4858731005274</v>
      </c>
      <c r="J26" s="649">
        <v>3212.0353257069928</v>
      </c>
      <c r="K26" s="649">
        <v>3297.7172087031054</v>
      </c>
      <c r="L26" s="649">
        <v>3406.6279585330935</v>
      </c>
      <c r="M26" s="649">
        <v>3307.2266641761621</v>
      </c>
      <c r="N26" s="649">
        <v>3390.9587624836058</v>
      </c>
      <c r="O26" s="649">
        <v>3460.4578831863928</v>
      </c>
      <c r="P26" s="649">
        <v>1978.9544426667896</v>
      </c>
      <c r="Q26" s="649">
        <v>2920.7012257633965</v>
      </c>
      <c r="R26" s="649">
        <v>3399.8450586470121</v>
      </c>
      <c r="S26" s="233">
        <f t="shared" ref="S26:S35" si="5">INDEX($G26:$R26,0,MATCH($S$9,$G$9:$R$9,0))</f>
        <v>3399.8450586470121</v>
      </c>
      <c r="T26" s="234">
        <f t="shared" si="4"/>
        <v>0.19168495576619385</v>
      </c>
      <c r="U26" s="217" t="str">
        <f t="shared" ref="U26:U32" si="6">E26&amp;" ("&amp;TEXT(T26,"0.0%")&amp;")"</f>
        <v>Food &amp; Drink (19.2%)</v>
      </c>
      <c r="V26" s="231"/>
      <c r="W26" s="231"/>
      <c r="X26" s="231"/>
    </row>
    <row r="27" spans="4:24" ht="16.2" customHeight="1" thickTop="1" thickBot="1" x14ac:dyDescent="0.35">
      <c r="E27" s="220" t="s">
        <v>50</v>
      </c>
      <c r="F27" s="194" t="s">
        <v>59</v>
      </c>
      <c r="G27" s="649">
        <v>1538.7593559765244</v>
      </c>
      <c r="H27" s="649">
        <v>1290.841551430952</v>
      </c>
      <c r="I27" s="649">
        <v>1226.387616119858</v>
      </c>
      <c r="J27" s="649">
        <v>1013.3590029875176</v>
      </c>
      <c r="K27" s="649">
        <v>954.29818664057018</v>
      </c>
      <c r="L27" s="649">
        <v>1076.4837274244835</v>
      </c>
      <c r="M27" s="649">
        <v>1132.118420888665</v>
      </c>
      <c r="N27" s="649">
        <v>1025.4505953939233</v>
      </c>
      <c r="O27" s="649">
        <v>1174.386633127516</v>
      </c>
      <c r="P27" s="649">
        <v>696.83874622334235</v>
      </c>
      <c r="Q27" s="649">
        <v>1042.3859095723294</v>
      </c>
      <c r="R27" s="649">
        <v>1102.5079334790339</v>
      </c>
      <c r="S27" s="233">
        <f t="shared" si="5"/>
        <v>1102.5079334790339</v>
      </c>
      <c r="T27" s="234">
        <f t="shared" si="4"/>
        <v>6.2159945766736814E-2</v>
      </c>
      <c r="U27" s="217" t="str">
        <f t="shared" si="6"/>
        <v>Recreation (6.2%)</v>
      </c>
      <c r="V27" s="231"/>
      <c r="W27" s="231"/>
      <c r="X27" s="231"/>
    </row>
    <row r="28" spans="4:24" ht="16.2" customHeight="1" thickTop="1" thickBot="1" x14ac:dyDescent="0.35">
      <c r="E28" s="221" t="s">
        <v>51</v>
      </c>
      <c r="F28" s="194" t="s">
        <v>59</v>
      </c>
      <c r="G28" s="649">
        <v>3756.9951286593446</v>
      </c>
      <c r="H28" s="649">
        <v>3348.6065236576546</v>
      </c>
      <c r="I28" s="649">
        <v>3437.5635617809021</v>
      </c>
      <c r="J28" s="649">
        <v>3001.7739326897458</v>
      </c>
      <c r="K28" s="649">
        <v>3100.9018297010393</v>
      </c>
      <c r="L28" s="649">
        <v>3121.6819179184586</v>
      </c>
      <c r="M28" s="649">
        <v>3239.6966426201961</v>
      </c>
      <c r="N28" s="649">
        <v>3223.8350533075445</v>
      </c>
      <c r="O28" s="649">
        <v>3498.7299072517185</v>
      </c>
      <c r="P28" s="649">
        <v>1587.3587396550065</v>
      </c>
      <c r="Q28" s="649">
        <v>2426.350600779444</v>
      </c>
      <c r="R28" s="649">
        <v>3334.7940742874412</v>
      </c>
      <c r="S28" s="233">
        <f t="shared" si="5"/>
        <v>3334.7940742874412</v>
      </c>
      <c r="T28" s="234">
        <f t="shared" si="4"/>
        <v>0.18801734890634655</v>
      </c>
      <c r="U28" s="217" t="str">
        <f t="shared" si="6"/>
        <v>Shopping (18.8%)</v>
      </c>
      <c r="V28" s="231"/>
      <c r="W28" s="231"/>
      <c r="X28" s="231"/>
    </row>
    <row r="29" spans="4:24" ht="16.2" customHeight="1" thickTop="1" thickBot="1" x14ac:dyDescent="0.35">
      <c r="D29" s="196"/>
      <c r="E29" s="222" t="s">
        <v>52</v>
      </c>
      <c r="F29" s="194" t="s">
        <v>59</v>
      </c>
      <c r="G29" s="649">
        <v>696.07527385383128</v>
      </c>
      <c r="H29" s="649">
        <v>606.37301517529102</v>
      </c>
      <c r="I29" s="649">
        <v>605.25552025967488</v>
      </c>
      <c r="J29" s="649">
        <v>516.00023246981903</v>
      </c>
      <c r="K29" s="649">
        <v>530.46987065801693</v>
      </c>
      <c r="L29" s="649">
        <v>552.53872052800295</v>
      </c>
      <c r="M29" s="649">
        <v>570.39826816064067</v>
      </c>
      <c r="N29" s="649">
        <v>553.12826634781925</v>
      </c>
      <c r="O29" s="649">
        <v>611.12057336567068</v>
      </c>
      <c r="P29" s="649">
        <v>259.27838927109713</v>
      </c>
      <c r="Q29" s="649">
        <v>447.94815809219722</v>
      </c>
      <c r="R29" s="649">
        <v>571.52506817873223</v>
      </c>
      <c r="S29" s="233">
        <f t="shared" si="5"/>
        <v>571.52506817873223</v>
      </c>
      <c r="T29" s="234">
        <f t="shared" si="4"/>
        <v>3.2222867667007257E-2</v>
      </c>
      <c r="U29" s="217" t="str">
        <f t="shared" si="6"/>
        <v>Transport (3.2%)</v>
      </c>
      <c r="V29" s="231"/>
      <c r="W29" s="231"/>
      <c r="X29" s="231"/>
    </row>
    <row r="30" spans="4:24" ht="16.2" customHeight="1" thickTop="1" thickBot="1" x14ac:dyDescent="0.35">
      <c r="D30" s="196"/>
      <c r="E30" s="224" t="s">
        <v>55</v>
      </c>
      <c r="F30" s="194" t="s">
        <v>59</v>
      </c>
      <c r="G30" s="650">
        <v>12718.9041362753</v>
      </c>
      <c r="H30" s="650">
        <v>11658.873751640038</v>
      </c>
      <c r="I30" s="650">
        <v>12584.741494724993</v>
      </c>
      <c r="J30" s="650">
        <v>12316.542528933665</v>
      </c>
      <c r="K30" s="650">
        <v>12519.604124471385</v>
      </c>
      <c r="L30" s="650">
        <v>12724.810788201552</v>
      </c>
      <c r="M30" s="650">
        <v>12783.654186064441</v>
      </c>
      <c r="N30" s="650">
        <v>14084.128322112958</v>
      </c>
      <c r="O30" s="650">
        <v>14575.003172988923</v>
      </c>
      <c r="P30" s="650">
        <v>7759.4540783538714</v>
      </c>
      <c r="Q30" s="650">
        <v>11656.966759871973</v>
      </c>
      <c r="R30" s="650">
        <v>14284.017330578974</v>
      </c>
      <c r="S30" s="233">
        <f t="shared" si="5"/>
        <v>14284.017330578974</v>
      </c>
      <c r="T30" s="234">
        <f t="shared" si="4"/>
        <v>0.80534000313096388</v>
      </c>
      <c r="U30" s="217" t="str">
        <f t="shared" si="6"/>
        <v>Direct Employment (80.5%)</v>
      </c>
      <c r="V30" s="231"/>
      <c r="W30" s="231"/>
      <c r="X30" s="231"/>
    </row>
    <row r="31" spans="4:24" ht="16.2" customHeight="1" thickTop="1" thickBot="1" x14ac:dyDescent="0.35">
      <c r="D31" s="196"/>
      <c r="E31" s="225" t="s">
        <v>53</v>
      </c>
      <c r="F31" s="194" t="s">
        <v>59</v>
      </c>
      <c r="G31" s="651">
        <v>3186.6468855120106</v>
      </c>
      <c r="H31" s="651">
        <v>2852.7488733396531</v>
      </c>
      <c r="I31" s="651">
        <v>3000.3277747868801</v>
      </c>
      <c r="J31" s="651">
        <v>2705.1172946944248</v>
      </c>
      <c r="K31" s="651">
        <v>2723.2179819128937</v>
      </c>
      <c r="L31" s="651">
        <v>2832.1025382123239</v>
      </c>
      <c r="M31" s="651">
        <v>2966.0042773015048</v>
      </c>
      <c r="N31" s="651">
        <v>3129.4480158560327</v>
      </c>
      <c r="O31" s="651">
        <v>3669.3595017741304</v>
      </c>
      <c r="P31" s="651">
        <v>1811.6581879201892</v>
      </c>
      <c r="Q31" s="651">
        <v>2993.601250192296</v>
      </c>
      <c r="R31" s="651">
        <v>3452.6122607069742</v>
      </c>
      <c r="S31" s="233">
        <f t="shared" si="5"/>
        <v>3452.6122607069742</v>
      </c>
      <c r="T31" s="234">
        <f t="shared" si="4"/>
        <v>0.19465999686903601</v>
      </c>
      <c r="U31" s="217" t="str">
        <f t="shared" si="6"/>
        <v>Indirect Employment (19.5%)</v>
      </c>
      <c r="V31" s="231"/>
      <c r="W31" s="231"/>
      <c r="X31" s="231"/>
    </row>
    <row r="32" spans="4:24" ht="16.2" customHeight="1" thickTop="1" thickBot="1" x14ac:dyDescent="0.35">
      <c r="D32" s="196"/>
      <c r="E32" s="226" t="s">
        <v>38</v>
      </c>
      <c r="F32" s="194" t="s">
        <v>59</v>
      </c>
      <c r="G32" s="652">
        <v>15905.551021787311</v>
      </c>
      <c r="H32" s="652">
        <v>14511.622624979691</v>
      </c>
      <c r="I32" s="652">
        <v>15585.069269511876</v>
      </c>
      <c r="J32" s="652">
        <v>15021.65982362809</v>
      </c>
      <c r="K32" s="652">
        <v>15242.822106384279</v>
      </c>
      <c r="L32" s="652">
        <v>15556.913326413875</v>
      </c>
      <c r="M32" s="652">
        <v>15749.658463365944</v>
      </c>
      <c r="N32" s="652">
        <v>17213.576337968992</v>
      </c>
      <c r="O32" s="652">
        <v>18244.362674763051</v>
      </c>
      <c r="P32" s="652">
        <v>9571.1122662740581</v>
      </c>
      <c r="Q32" s="652">
        <v>14650.568010064269</v>
      </c>
      <c r="R32" s="652">
        <v>17736.62959128595</v>
      </c>
      <c r="S32" s="233">
        <f t="shared" si="5"/>
        <v>17736.62959128595</v>
      </c>
      <c r="T32" s="234">
        <f t="shared" si="4"/>
        <v>1</v>
      </c>
      <c r="U32" s="217" t="str">
        <f t="shared" si="6"/>
        <v>TOTAL (100.0%)</v>
      </c>
      <c r="V32" s="231"/>
      <c r="W32" s="231"/>
      <c r="X32" s="231"/>
    </row>
    <row r="33" spans="4:24" ht="16.2" customHeight="1" thickTop="1" thickBot="1" x14ac:dyDescent="0.35">
      <c r="D33" s="196"/>
      <c r="E33" s="235"/>
      <c r="F33" s="172"/>
      <c r="G33" s="653"/>
      <c r="H33" s="653"/>
      <c r="I33" s="653"/>
      <c r="J33" s="653"/>
      <c r="K33" s="653"/>
      <c r="L33" s="653"/>
      <c r="M33" s="653"/>
      <c r="N33" s="653"/>
      <c r="O33" s="653"/>
      <c r="P33" s="653"/>
      <c r="Q33" s="653"/>
      <c r="R33" s="653"/>
      <c r="S33" s="233">
        <f t="shared" si="5"/>
        <v>0</v>
      </c>
      <c r="T33" s="231"/>
      <c r="U33" s="231"/>
      <c r="V33" s="231"/>
      <c r="W33" s="231"/>
      <c r="X33" s="231"/>
    </row>
    <row r="34" spans="4:24" ht="16.2" customHeight="1" thickTop="1" thickBot="1" x14ac:dyDescent="0.35">
      <c r="D34" s="196"/>
      <c r="E34" s="235"/>
      <c r="F34" s="172"/>
      <c r="G34" s="653"/>
      <c r="H34" s="653"/>
      <c r="I34" s="653"/>
      <c r="J34" s="653"/>
      <c r="K34" s="653"/>
      <c r="L34" s="653"/>
      <c r="M34" s="653"/>
      <c r="N34" s="653"/>
      <c r="O34" s="653"/>
      <c r="P34" s="653"/>
      <c r="Q34" s="653"/>
      <c r="R34" s="653"/>
      <c r="S34" s="233"/>
      <c r="T34" s="231"/>
      <c r="U34" s="231"/>
      <c r="V34" s="231"/>
      <c r="W34" s="231"/>
      <c r="X34" s="231"/>
    </row>
    <row r="35" spans="4:24" ht="16.2" customHeight="1" thickTop="1" thickBot="1" x14ac:dyDescent="0.35">
      <c r="E35" s="235"/>
      <c r="F35" s="172"/>
      <c r="G35" s="653"/>
      <c r="H35" s="653"/>
      <c r="I35" s="653"/>
      <c r="J35" s="653"/>
      <c r="K35" s="653"/>
      <c r="L35" s="653"/>
      <c r="M35" s="653"/>
      <c r="N35" s="653"/>
      <c r="O35" s="653"/>
      <c r="P35" s="653"/>
      <c r="Q35" s="653"/>
      <c r="R35" s="653"/>
      <c r="S35" s="233">
        <f t="shared" si="5"/>
        <v>0</v>
      </c>
      <c r="T35" s="231"/>
      <c r="U35" s="231"/>
      <c r="V35" s="231"/>
      <c r="W35" s="231"/>
      <c r="X35" s="231"/>
    </row>
    <row r="36" spans="4:24" ht="16.2" customHeight="1" thickTop="1" thickBot="1" x14ac:dyDescent="0.35">
      <c r="E36" s="235"/>
      <c r="F36" s="172"/>
      <c r="G36" s="654"/>
      <c r="H36" s="654"/>
      <c r="I36" s="654"/>
      <c r="J36" s="654"/>
      <c r="K36" s="654"/>
      <c r="L36" s="654"/>
      <c r="M36" s="654"/>
      <c r="N36" s="654"/>
      <c r="O36" s="654"/>
      <c r="P36" s="654"/>
      <c r="Q36" s="654"/>
      <c r="R36" s="654"/>
      <c r="S36" s="236"/>
      <c r="T36" s="237"/>
      <c r="U36" s="237"/>
      <c r="V36" s="237"/>
      <c r="W36" s="237"/>
      <c r="X36" s="238"/>
    </row>
    <row r="37" spans="4:24" ht="16.2" customHeight="1" thickTop="1" thickBot="1" x14ac:dyDescent="0.35">
      <c r="E37" s="203" t="str">
        <f>IF(COUNT(REP.yearsrange)&lt;MAX(REP.yearnos),"Note: This report caters for a period of up to 12 years. Parts of this page are intentionally left blank to accommodate new data as it becomes available.","")</f>
        <v/>
      </c>
      <c r="F37" s="239"/>
      <c r="G37" s="239"/>
      <c r="H37" s="239"/>
      <c r="I37" s="239"/>
      <c r="J37" s="239"/>
      <c r="K37" s="239"/>
      <c r="L37" s="239"/>
      <c r="M37" s="239"/>
      <c r="N37" s="239"/>
      <c r="O37" s="239"/>
      <c r="P37" s="239"/>
      <c r="Q37" s="239"/>
      <c r="R37" s="239"/>
      <c r="S37" s="237"/>
      <c r="T37" s="237"/>
      <c r="U37" s="237"/>
      <c r="V37" s="237"/>
      <c r="W37" s="237"/>
      <c r="X37" s="238"/>
    </row>
    <row r="38" spans="4:24" s="174" customFormat="1" ht="16.2" customHeight="1" thickTop="1" thickBot="1" x14ac:dyDescent="0.2">
      <c r="D38" s="170"/>
      <c r="E38" s="171" t="str">
        <f>REP.footer1</f>
        <v>This report is copyright © Global Tourism Solutions (UK) Ltd 2023</v>
      </c>
      <c r="F38" s="172"/>
      <c r="G38" s="172"/>
      <c r="H38" s="172" t="str">
        <f>IFERROR(INDEX(DATA!$T:$T,MATCH(G$9&amp;".Employment."&amp;$E25:$E32,REP.lookup,0)),"")</f>
        <v/>
      </c>
      <c r="I38" s="172"/>
      <c r="J38" s="172"/>
      <c r="K38" s="172"/>
      <c r="L38" s="172"/>
      <c r="M38" s="172"/>
      <c r="N38" s="172"/>
      <c r="O38" s="172"/>
      <c r="P38" s="172"/>
      <c r="Q38" s="172"/>
      <c r="R38" s="172"/>
      <c r="S38" s="172"/>
      <c r="T38" s="172"/>
      <c r="U38" s="172"/>
      <c r="V38" s="172"/>
      <c r="W38" s="172"/>
      <c r="X38" s="173" t="str">
        <f>REP.footer2</f>
        <v>Report Prepared by: Cathy James. Date of Issue: 14/08/23</v>
      </c>
    </row>
    <row r="39" spans="4:24" ht="16.2" customHeight="1" thickTop="1" x14ac:dyDescent="0.3"/>
    <row r="40" spans="4:24" ht="16.2" customHeight="1" x14ac:dyDescent="0.3">
      <c r="G40" s="240"/>
      <c r="H40" s="240"/>
      <c r="I40" s="240"/>
      <c r="J40" s="240"/>
      <c r="K40" s="240"/>
      <c r="L40" s="240"/>
      <c r="M40" s="240"/>
      <c r="N40" s="240"/>
      <c r="O40" s="240"/>
      <c r="P40" s="240"/>
      <c r="Q40" s="240"/>
      <c r="R40" s="240"/>
      <c r="S40" s="240"/>
      <c r="T40" s="240"/>
      <c r="U40" s="240"/>
      <c r="V40" s="240"/>
    </row>
    <row r="41" spans="4:24" ht="16.2" customHeight="1" x14ac:dyDescent="0.3">
      <c r="G41" s="240"/>
      <c r="H41" s="240"/>
      <c r="I41" s="240"/>
      <c r="J41" s="240"/>
      <c r="K41" s="240"/>
      <c r="L41" s="240"/>
      <c r="M41" s="240"/>
      <c r="N41" s="240"/>
      <c r="O41" s="240"/>
      <c r="P41" s="240"/>
      <c r="Q41" s="240"/>
      <c r="R41" s="240"/>
      <c r="S41" s="240"/>
      <c r="T41" s="240"/>
      <c r="U41" s="240"/>
      <c r="V41" s="240"/>
    </row>
    <row r="70" spans="7:23" ht="16.2" customHeight="1" x14ac:dyDescent="0.3">
      <c r="G70" s="111" t="s">
        <v>43</v>
      </c>
      <c r="H70" s="111" t="s">
        <v>43</v>
      </c>
      <c r="J70" s="111" t="s">
        <v>48</v>
      </c>
      <c r="K70" s="111" t="s">
        <v>48</v>
      </c>
      <c r="M70" s="111" t="s">
        <v>18</v>
      </c>
      <c r="N70" s="111" t="s">
        <v>18</v>
      </c>
      <c r="P70" s="111" t="s">
        <v>95</v>
      </c>
      <c r="S70" s="111" t="s">
        <v>71</v>
      </c>
      <c r="T70" s="111" t="s">
        <v>71</v>
      </c>
      <c r="V70" s="111" t="s">
        <v>54</v>
      </c>
      <c r="W70" s="111" t="s">
        <v>54</v>
      </c>
    </row>
  </sheetData>
  <sheetProtection algorithmName="SHA-512" hashValue="x0KHi+3akrvSE958vqpQTYpScctk08+2Lbrt3HjIxfRgX4XoYQmG6fhF80HxHc1wYVRx+4B9c/MD3EhEvs04pg==" saltValue="oidvLCJOev/p2wdzcQxx7Q==" spinCount="100000" sheet="1" objects="1" scenarios="1"/>
  <mergeCells count="12">
    <mergeCell ref="E24:F24"/>
    <mergeCell ref="S8:X8"/>
    <mergeCell ref="S23:X23"/>
    <mergeCell ref="M7:O7"/>
    <mergeCell ref="E23:R23"/>
    <mergeCell ref="E8:R8"/>
    <mergeCell ref="S6:T7"/>
    <mergeCell ref="U6:X7"/>
    <mergeCell ref="N6:O6"/>
    <mergeCell ref="E9:F9"/>
    <mergeCell ref="P6:R6"/>
    <mergeCell ref="P7:R7"/>
  </mergeCells>
  <conditionalFormatting sqref="E9">
    <cfRule type="expression" dxfId="9" priority="9">
      <formula>$E9=0</formula>
    </cfRule>
  </conditionalFormatting>
  <conditionalFormatting sqref="E13:E19">
    <cfRule type="expression" dxfId="8" priority="8">
      <formula>$E13=0</formula>
    </cfRule>
  </conditionalFormatting>
  <conditionalFormatting sqref="E24">
    <cfRule type="expression" dxfId="7" priority="12">
      <formula>$E24=0</formula>
    </cfRule>
  </conditionalFormatting>
  <conditionalFormatting sqref="F10:F19">
    <cfRule type="expression" dxfId="6" priority="14">
      <formula>$E10=0</formula>
    </cfRule>
  </conditionalFormatting>
  <conditionalFormatting sqref="F25:F32 E28:E32">
    <cfRule type="expression" dxfId="5" priority="43">
      <formula>$E25=0</formula>
    </cfRule>
  </conditionalFormatting>
  <conditionalFormatting sqref="G9:R19">
    <cfRule type="expression" dxfId="4" priority="1">
      <formula>G$9=0</formula>
    </cfRule>
  </conditionalFormatting>
  <conditionalFormatting sqref="G10:R19">
    <cfRule type="expression" dxfId="3" priority="25">
      <formula>AND($A$2&gt;1,G10&lt;10)</formula>
    </cfRule>
  </conditionalFormatting>
  <conditionalFormatting sqref="G24:R32">
    <cfRule type="expression" dxfId="2" priority="15">
      <formula>G$9=0</formula>
    </cfRule>
  </conditionalFormatting>
  <conditionalFormatting sqref="S10:S22">
    <cfRule type="expression" dxfId="1" priority="10">
      <formula>MAX($G$10:$S$18)&gt;=5000000</formula>
    </cfRule>
    <cfRule type="expression" dxfId="0" priority="11">
      <formula>S$9=0</formula>
    </cfRule>
  </conditionalFormatting>
  <printOptions horizontalCentered="1" verticalCentered="1"/>
  <pageMargins left="0.70866141732283472" right="0.70866141732283472" top="0.74803149606299213" bottom="0.74803149606299213" header="0.31496062992125984" footer="0.31496062992125984"/>
  <pageSetup paperSize="9" scale="89"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126977" r:id="rId4" name="Drop Down 1">
              <controlPr defaultSize="0" autoLine="0" autoPict="0">
                <anchor moveWithCells="1">
                  <from>
                    <xdr:col>21</xdr:col>
                    <xdr:colOff>175260</xdr:colOff>
                    <xdr:row>4</xdr:row>
                    <xdr:rowOff>22860</xdr:rowOff>
                  </from>
                  <to>
                    <xdr:col>22</xdr:col>
                    <xdr:colOff>259080</xdr:colOff>
                    <xdr:row>4</xdr:row>
                    <xdr:rowOff>297180</xdr:rowOff>
                  </to>
                </anchor>
              </controlPr>
            </control>
          </mc:Choice>
        </mc:AlternateContent>
        <mc:AlternateContent xmlns:mc="http://schemas.openxmlformats.org/markup-compatibility/2006">
          <mc:Choice Requires="x14">
            <control shapeId="126979" r:id="rId5" name="Drop Down 3">
              <controlPr defaultSize="0" autoLine="0" autoPict="0">
                <anchor moveWithCells="1">
                  <from>
                    <xdr:col>16</xdr:col>
                    <xdr:colOff>68580</xdr:colOff>
                    <xdr:row>4</xdr:row>
                    <xdr:rowOff>22860</xdr:rowOff>
                  </from>
                  <to>
                    <xdr:col>17</xdr:col>
                    <xdr:colOff>289560</xdr:colOff>
                    <xdr:row>4</xdr:row>
                    <xdr:rowOff>297180</xdr:rowOff>
                  </to>
                </anchor>
              </controlPr>
            </control>
          </mc:Choice>
        </mc:AlternateContent>
        <mc:AlternateContent xmlns:mc="http://schemas.openxmlformats.org/markup-compatibility/2006">
          <mc:Choice Requires="x14">
            <control shapeId="126980" r:id="rId6" name="Drop Down 4">
              <controlPr defaultSize="0" autoLine="0" autoPict="0">
                <anchor moveWithCells="1">
                  <from>
                    <xdr:col>6</xdr:col>
                    <xdr:colOff>7620</xdr:colOff>
                    <xdr:row>4</xdr:row>
                    <xdr:rowOff>22860</xdr:rowOff>
                  </from>
                  <to>
                    <xdr:col>7</xdr:col>
                    <xdr:colOff>220980</xdr:colOff>
                    <xdr:row>4</xdr:row>
                    <xdr:rowOff>297180</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Client01">
    <tabColor theme="4" tint="0.39997558519241921"/>
    <outlinePr showOutlineSymbols="0"/>
    <pageSetUpPr autoPageBreaks="0" fitToPage="1"/>
  </sheetPr>
  <dimension ref="A1:AC67"/>
  <sheetViews>
    <sheetView showGridLines="0" showRowColHeaders="0" showZeros="0" showOutlineSymbols="0" topLeftCell="A2" zoomScaleNormal="100" workbookViewId="0">
      <pane ySplit="11" topLeftCell="A13" activePane="bottomLeft" state="frozen"/>
      <selection activeCell="M48" sqref="M48"/>
      <selection pane="bottomLeft" activeCell="E35" sqref="E35:X35"/>
    </sheetView>
  </sheetViews>
  <sheetFormatPr defaultColWidth="4.88671875" defaultRowHeight="16.2" customHeight="1" x14ac:dyDescent="0.3"/>
  <cols>
    <col min="1" max="1" width="7.88671875" style="111" bestFit="1" customWidth="1"/>
    <col min="2" max="3" width="4.88671875" style="111"/>
    <col min="4" max="4" width="4.88671875" style="112"/>
    <col min="5" max="5" width="19.5546875" style="111" customWidth="1"/>
    <col min="6" max="6" width="5.109375" style="111" customWidth="1"/>
    <col min="7" max="24" width="7.33203125" style="111" customWidth="1"/>
    <col min="25" max="25" width="7.109375" style="111" bestFit="1" customWidth="1"/>
    <col min="26" max="26" width="8.44140625" style="111" bestFit="1" customWidth="1"/>
    <col min="27" max="16384" width="4.88671875" style="111"/>
  </cols>
  <sheetData>
    <row r="1" spans="1:29" ht="16.2" hidden="1" customHeight="1" x14ac:dyDescent="0.3">
      <c r="A1" s="110" t="str">
        <f ca="1">MID(CELL("filename",A1),FIND("]",CELL("filename",A1))+1,255)</f>
        <v>COVER</v>
      </c>
      <c r="E1" s="113"/>
      <c r="F1" s="114"/>
      <c r="G1" s="114"/>
      <c r="H1" s="114"/>
      <c r="I1" s="114"/>
      <c r="J1" s="114"/>
      <c r="K1" s="114"/>
      <c r="L1" s="114"/>
      <c r="M1" s="114"/>
      <c r="N1" s="114"/>
      <c r="O1" s="114"/>
      <c r="P1" s="114"/>
      <c r="Q1" s="114"/>
      <c r="R1" s="114"/>
      <c r="S1" s="114"/>
      <c r="T1" s="114"/>
      <c r="U1" s="114"/>
      <c r="V1" s="114"/>
      <c r="W1" s="114"/>
      <c r="X1" s="115"/>
    </row>
    <row r="2" spans="1:29" ht="16.2" customHeight="1" thickTop="1" x14ac:dyDescent="0.3">
      <c r="E2" s="116"/>
      <c r="F2" s="117"/>
      <c r="G2" s="117"/>
      <c r="H2" s="117"/>
      <c r="I2" s="117"/>
      <c r="J2" s="117"/>
      <c r="K2" s="117"/>
      <c r="L2" s="117"/>
      <c r="M2" s="117"/>
      <c r="N2" s="117"/>
      <c r="O2" s="117"/>
      <c r="P2" s="117"/>
      <c r="Q2" s="117"/>
      <c r="R2" s="117"/>
      <c r="S2" s="117"/>
      <c r="T2" s="117"/>
      <c r="U2" s="117"/>
      <c r="V2" s="117"/>
      <c r="W2" s="117"/>
      <c r="X2" s="118"/>
    </row>
    <row r="3" spans="1:29" ht="26.4" customHeight="1" x14ac:dyDescent="0.3">
      <c r="E3" s="119"/>
      <c r="F3" s="120"/>
      <c r="G3" s="120"/>
      <c r="H3" s="120"/>
      <c r="I3" s="120"/>
      <c r="J3" s="120"/>
      <c r="K3" s="120"/>
      <c r="L3" s="120"/>
      <c r="M3" s="120"/>
      <c r="N3" s="120"/>
      <c r="O3" s="120"/>
      <c r="P3" s="120"/>
      <c r="Q3" s="120"/>
      <c r="R3" s="120"/>
      <c r="S3" s="120"/>
      <c r="T3" s="120"/>
      <c r="U3" s="120"/>
      <c r="V3" s="120"/>
      <c r="W3" s="120"/>
      <c r="X3" s="121"/>
    </row>
    <row r="4" spans="1:29" ht="26.4" customHeight="1" x14ac:dyDescent="0.3">
      <c r="E4" s="119"/>
      <c r="F4" s="120"/>
      <c r="G4" s="120"/>
      <c r="H4" s="120"/>
      <c r="I4" s="120"/>
      <c r="J4" s="120"/>
      <c r="K4" s="120"/>
      <c r="L4" s="120"/>
      <c r="M4" s="120"/>
      <c r="N4" s="120"/>
      <c r="O4" s="120"/>
      <c r="P4" s="120"/>
      <c r="Q4" s="120"/>
      <c r="R4" s="120"/>
      <c r="S4" s="120"/>
      <c r="T4" s="120"/>
      <c r="U4" s="120"/>
      <c r="V4" s="120"/>
      <c r="W4" s="120"/>
      <c r="X4" s="121"/>
    </row>
    <row r="5" spans="1:29" ht="26.4" customHeight="1" thickBot="1" x14ac:dyDescent="0.35">
      <c r="E5" s="122"/>
      <c r="F5" s="123"/>
      <c r="G5" s="123"/>
      <c r="H5" s="123"/>
      <c r="I5" s="123"/>
      <c r="J5" s="123"/>
      <c r="K5" s="123"/>
      <c r="L5" s="123"/>
      <c r="M5" s="123"/>
      <c r="N5" s="123"/>
      <c r="O5" s="123"/>
      <c r="P5" s="123"/>
      <c r="Q5" s="123"/>
      <c r="R5" s="123"/>
      <c r="S5" s="123"/>
      <c r="T5" s="123"/>
      <c r="U5" s="123"/>
      <c r="V5" s="123"/>
      <c r="W5" s="123"/>
      <c r="X5" s="124"/>
    </row>
    <row r="6" spans="1:29" ht="16.2" customHeight="1" thickTop="1" thickBot="1" x14ac:dyDescent="0.35">
      <c r="E6" s="99"/>
      <c r="F6" s="99"/>
      <c r="G6" s="99"/>
      <c r="H6" s="99"/>
      <c r="I6" s="99"/>
      <c r="J6" s="99"/>
      <c r="K6" s="99"/>
      <c r="L6" s="99"/>
      <c r="M6" s="99"/>
      <c r="N6" s="99"/>
      <c r="O6" s="99"/>
      <c r="P6" s="1177"/>
      <c r="Q6" s="1178"/>
      <c r="R6" s="1178"/>
      <c r="S6" s="1178"/>
      <c r="T6" s="1178"/>
      <c r="U6" s="1178"/>
      <c r="V6" s="1178"/>
      <c r="W6" s="1178"/>
      <c r="X6" s="1179"/>
    </row>
    <row r="7" spans="1:29" ht="16.2" customHeight="1" thickTop="1" thickBot="1" x14ac:dyDescent="0.35">
      <c r="E7" s="99"/>
      <c r="F7" s="99"/>
      <c r="G7" s="99"/>
      <c r="H7" s="99"/>
      <c r="I7" s="99"/>
      <c r="J7" s="99"/>
      <c r="K7" s="99"/>
      <c r="L7" s="99"/>
      <c r="M7" s="99"/>
      <c r="N7" s="99"/>
      <c r="O7" s="99"/>
      <c r="P7" s="1180"/>
      <c r="Q7" s="1181"/>
      <c r="R7" s="1181"/>
      <c r="S7" s="1181"/>
      <c r="T7" s="1181"/>
      <c r="U7" s="1181"/>
      <c r="V7" s="1181"/>
      <c r="W7" s="1181"/>
      <c r="X7" s="1182"/>
    </row>
    <row r="8" spans="1:29" ht="16.2" customHeight="1" thickTop="1" thickBot="1" x14ac:dyDescent="0.35">
      <c r="E8" s="99"/>
      <c r="F8" s="99"/>
      <c r="G8" s="99"/>
      <c r="H8" s="99"/>
      <c r="I8" s="99"/>
      <c r="J8" s="99"/>
      <c r="K8" s="99"/>
      <c r="L8" s="99"/>
      <c r="M8" s="99"/>
      <c r="N8" s="99"/>
      <c r="O8" s="99"/>
      <c r="P8" s="1183"/>
      <c r="Q8" s="1184"/>
      <c r="R8" s="1184"/>
      <c r="S8" s="1184"/>
      <c r="T8" s="1184"/>
      <c r="U8" s="1184"/>
      <c r="V8" s="1184"/>
      <c r="W8" s="1184"/>
      <c r="X8" s="1185"/>
    </row>
    <row r="9" spans="1:29" s="125" customFormat="1" ht="16.2" customHeight="1" thickTop="1" thickBot="1" x14ac:dyDescent="0.35">
      <c r="E9" s="99"/>
      <c r="F9" s="99"/>
      <c r="G9" s="99"/>
      <c r="H9" s="99"/>
      <c r="I9" s="99"/>
      <c r="J9" s="99"/>
      <c r="K9" s="99"/>
      <c r="L9" s="99"/>
      <c r="M9" s="99"/>
      <c r="N9" s="99"/>
      <c r="O9" s="99"/>
      <c r="P9" s="1186"/>
      <c r="Q9" s="1187"/>
      <c r="R9" s="1187"/>
      <c r="S9" s="1187"/>
      <c r="T9" s="1187"/>
      <c r="U9" s="1187"/>
      <c r="V9" s="1187"/>
      <c r="W9" s="1187"/>
      <c r="X9" s="1188"/>
    </row>
    <row r="10" spans="1:29" s="125" customFormat="1" ht="16.2" customHeight="1" thickTop="1" thickBot="1" x14ac:dyDescent="0.35">
      <c r="E10" s="99"/>
      <c r="F10" s="99"/>
      <c r="G10" s="99"/>
      <c r="H10" s="99"/>
      <c r="I10" s="99"/>
      <c r="J10" s="99"/>
      <c r="K10" s="99"/>
      <c r="L10" s="99"/>
      <c r="M10" s="99"/>
      <c r="N10" s="99"/>
      <c r="O10" s="99"/>
      <c r="P10" s="1165"/>
      <c r="Q10" s="1166"/>
      <c r="R10" s="1166"/>
      <c r="S10" s="1166"/>
      <c r="T10" s="1166"/>
      <c r="U10" s="1166"/>
      <c r="V10" s="1166"/>
      <c r="W10" s="1166"/>
      <c r="X10" s="1167"/>
      <c r="AC10" s="126"/>
    </row>
    <row r="11" spans="1:29" s="125" customFormat="1" ht="16.2" customHeight="1" thickTop="1" thickBot="1" x14ac:dyDescent="0.35">
      <c r="E11" s="127"/>
      <c r="F11" s="127"/>
      <c r="G11" s="127"/>
      <c r="H11" s="127"/>
      <c r="I11" s="127"/>
      <c r="J11" s="127"/>
      <c r="K11" s="127"/>
      <c r="L11" s="127"/>
      <c r="M11" s="128"/>
      <c r="N11" s="128"/>
      <c r="O11" s="128"/>
      <c r="P11" s="1168"/>
      <c r="Q11" s="1169"/>
      <c r="R11" s="1169"/>
      <c r="S11" s="1169"/>
      <c r="T11" s="1169"/>
      <c r="U11" s="1169"/>
      <c r="V11" s="1169"/>
      <c r="W11" s="1169"/>
      <c r="X11" s="1170"/>
    </row>
    <row r="12" spans="1:29" ht="16.2" customHeight="1" thickTop="1" thickBot="1" x14ac:dyDescent="0.35">
      <c r="E12" s="129"/>
      <c r="F12" s="129"/>
      <c r="G12" s="130"/>
      <c r="H12" s="130"/>
      <c r="I12" s="131"/>
      <c r="J12" s="130"/>
      <c r="K12" s="130"/>
      <c r="L12" s="131"/>
      <c r="M12" s="130"/>
      <c r="N12" s="130"/>
      <c r="O12" s="131"/>
      <c r="P12" s="1168"/>
      <c r="Q12" s="1169"/>
      <c r="R12" s="1169"/>
      <c r="S12" s="1169"/>
      <c r="T12" s="1169"/>
      <c r="U12" s="1169"/>
      <c r="V12" s="1169"/>
      <c r="W12" s="1169"/>
      <c r="X12" s="1170"/>
    </row>
    <row r="13" spans="1:29" ht="16.2" customHeight="1" thickTop="1" thickBot="1" x14ac:dyDescent="0.35">
      <c r="E13" s="132"/>
      <c r="F13" s="133"/>
      <c r="G13" s="134"/>
      <c r="H13" s="134"/>
      <c r="I13" s="135"/>
      <c r="J13" s="134"/>
      <c r="K13" s="134"/>
      <c r="L13" s="135"/>
      <c r="M13" s="134"/>
      <c r="N13" s="134"/>
      <c r="O13" s="135"/>
      <c r="P13" s="1171"/>
      <c r="Q13" s="1172"/>
      <c r="R13" s="1172"/>
      <c r="S13" s="1172"/>
      <c r="T13" s="1172"/>
      <c r="U13" s="1172"/>
      <c r="V13" s="1172"/>
      <c r="W13" s="1172"/>
      <c r="X13" s="1173"/>
    </row>
    <row r="14" spans="1:29" ht="16.2" customHeight="1" thickTop="1" thickBot="1" x14ac:dyDescent="0.35">
      <c r="E14" s="132"/>
      <c r="F14" s="133"/>
      <c r="G14" s="134"/>
      <c r="H14" s="134"/>
      <c r="I14" s="135"/>
      <c r="J14" s="134"/>
      <c r="K14" s="134"/>
      <c r="L14" s="135"/>
      <c r="M14" s="134"/>
      <c r="N14" s="134"/>
      <c r="O14" s="135"/>
      <c r="P14" s="1174"/>
      <c r="Q14" s="1175"/>
      <c r="R14" s="1175"/>
      <c r="S14" s="1175"/>
      <c r="T14" s="1175"/>
      <c r="U14" s="1175"/>
      <c r="V14" s="1175"/>
      <c r="W14" s="1175"/>
      <c r="X14" s="1176"/>
    </row>
    <row r="15" spans="1:29" ht="16.2" customHeight="1" thickTop="1" thickBot="1" x14ac:dyDescent="0.35">
      <c r="E15" s="132"/>
      <c r="F15" s="133"/>
      <c r="G15" s="134"/>
      <c r="H15" s="134"/>
      <c r="I15" s="135"/>
      <c r="J15" s="134"/>
      <c r="K15" s="134"/>
      <c r="L15" s="135"/>
      <c r="M15" s="134"/>
      <c r="N15" s="134"/>
      <c r="O15" s="135"/>
      <c r="P15" s="136"/>
      <c r="Q15" s="137"/>
      <c r="R15" s="138"/>
      <c r="S15" s="137"/>
      <c r="T15" s="137"/>
      <c r="U15" s="138"/>
      <c r="V15" s="139"/>
      <c r="W15" s="139"/>
      <c r="X15" s="140"/>
    </row>
    <row r="16" spans="1:29" ht="16.2" customHeight="1" thickTop="1" thickBot="1" x14ac:dyDescent="0.35">
      <c r="E16" s="132"/>
      <c r="F16" s="133"/>
      <c r="G16" s="141"/>
      <c r="H16" s="141"/>
      <c r="I16" s="135"/>
      <c r="J16" s="141"/>
      <c r="K16" s="141"/>
      <c r="L16" s="135"/>
      <c r="M16" s="141"/>
      <c r="N16" s="141"/>
      <c r="O16" s="135"/>
      <c r="P16" s="142"/>
      <c r="Q16" s="143"/>
      <c r="R16" s="143"/>
      <c r="S16" s="144"/>
      <c r="T16" s="144"/>
      <c r="U16" s="144"/>
      <c r="V16" s="145"/>
      <c r="W16" s="145"/>
      <c r="X16" s="146"/>
    </row>
    <row r="17" spans="5:24" ht="16.2" customHeight="1" thickTop="1" thickBot="1" x14ac:dyDescent="0.35">
      <c r="E17" s="147"/>
      <c r="F17" s="133"/>
      <c r="G17" s="148"/>
      <c r="H17" s="134"/>
      <c r="I17" s="135"/>
      <c r="J17" s="148"/>
      <c r="K17" s="134"/>
      <c r="L17" s="135"/>
      <c r="M17" s="148"/>
      <c r="N17" s="134"/>
      <c r="O17" s="135"/>
      <c r="P17" s="142"/>
      <c r="Q17" s="143"/>
      <c r="R17" s="143"/>
      <c r="S17" s="144"/>
      <c r="T17" s="144"/>
      <c r="U17" s="144"/>
      <c r="V17" s="145"/>
      <c r="W17" s="145"/>
      <c r="X17" s="146"/>
    </row>
    <row r="18" spans="5:24" ht="16.2" customHeight="1" thickTop="1" thickBot="1" x14ac:dyDescent="0.35">
      <c r="E18" s="147"/>
      <c r="F18" s="133"/>
      <c r="G18" s="134"/>
      <c r="H18" s="134"/>
      <c r="I18" s="135"/>
      <c r="J18" s="134"/>
      <c r="K18" s="134"/>
      <c r="L18" s="135"/>
      <c r="M18" s="134"/>
      <c r="N18" s="134"/>
      <c r="O18" s="135"/>
      <c r="P18" s="142"/>
      <c r="Q18" s="143"/>
      <c r="R18" s="143"/>
      <c r="S18" s="144"/>
      <c r="T18" s="144"/>
      <c r="U18" s="144"/>
      <c r="V18" s="145"/>
      <c r="W18" s="145"/>
      <c r="X18" s="146"/>
    </row>
    <row r="19" spans="5:24" ht="16.2" customHeight="1" thickTop="1" thickBot="1" x14ac:dyDescent="0.35">
      <c r="E19" s="149"/>
      <c r="F19" s="149"/>
      <c r="G19" s="149"/>
      <c r="H19" s="149"/>
      <c r="I19" s="149"/>
      <c r="J19" s="149"/>
      <c r="K19" s="149"/>
      <c r="L19" s="149"/>
      <c r="M19" s="149"/>
      <c r="N19" s="149"/>
      <c r="O19" s="149"/>
      <c r="P19" s="142"/>
      <c r="Q19" s="143"/>
      <c r="R19" s="143"/>
      <c r="S19" s="144"/>
      <c r="T19" s="144"/>
      <c r="U19" s="144"/>
      <c r="V19" s="145"/>
      <c r="W19" s="145"/>
      <c r="X19" s="146"/>
    </row>
    <row r="20" spans="5:24" ht="16.2" customHeight="1" thickTop="1" thickBot="1" x14ac:dyDescent="0.35">
      <c r="E20" s="150"/>
      <c r="F20" s="150"/>
      <c r="G20" s="127"/>
      <c r="H20" s="127"/>
      <c r="I20" s="127"/>
      <c r="J20" s="127"/>
      <c r="K20" s="127"/>
      <c r="L20" s="127"/>
      <c r="M20" s="128"/>
      <c r="N20" s="128"/>
      <c r="O20" s="128"/>
      <c r="P20" s="142"/>
      <c r="Q20" s="143"/>
      <c r="R20" s="143"/>
      <c r="S20" s="144"/>
      <c r="T20" s="144"/>
      <c r="U20" s="144"/>
      <c r="V20" s="145"/>
      <c r="W20" s="145"/>
      <c r="X20" s="146"/>
    </row>
    <row r="21" spans="5:24" ht="24" customHeight="1" thickTop="1" thickBot="1" x14ac:dyDescent="0.35">
      <c r="E21" s="149"/>
      <c r="F21" s="149"/>
      <c r="G21" s="129"/>
      <c r="H21" s="129"/>
      <c r="I21" s="129"/>
      <c r="J21" s="129"/>
      <c r="K21" s="129"/>
      <c r="L21" s="129"/>
      <c r="M21" s="129"/>
      <c r="N21" s="129"/>
      <c r="O21" s="129"/>
      <c r="P21" s="151"/>
      <c r="Q21" s="152"/>
      <c r="R21" s="152"/>
      <c r="S21" s="152"/>
      <c r="T21" s="152"/>
      <c r="U21" s="152"/>
      <c r="V21" s="152"/>
      <c r="W21" s="152"/>
      <c r="X21" s="146"/>
    </row>
    <row r="22" spans="5:24" ht="24" customHeight="1" thickTop="1" thickBot="1" x14ac:dyDescent="0.35">
      <c r="E22" s="149"/>
      <c r="F22" s="149"/>
      <c r="G22" s="129"/>
      <c r="H22" s="129"/>
      <c r="I22" s="129"/>
      <c r="J22" s="129"/>
      <c r="K22" s="129"/>
      <c r="L22" s="129"/>
      <c r="M22" s="129"/>
      <c r="N22" s="129"/>
      <c r="O22" s="129"/>
      <c r="P22" s="151"/>
      <c r="Q22" s="152"/>
      <c r="R22" s="152"/>
      <c r="S22" s="152"/>
      <c r="T22" s="152"/>
      <c r="U22" s="152"/>
      <c r="V22" s="152"/>
      <c r="W22" s="145"/>
      <c r="X22" s="146"/>
    </row>
    <row r="23" spans="5:24" ht="24" customHeight="1" thickTop="1" thickBot="1" x14ac:dyDescent="0.45">
      <c r="E23" s="149"/>
      <c r="F23" s="149"/>
      <c r="G23" s="129"/>
      <c r="H23" s="129"/>
      <c r="I23" s="129"/>
      <c r="J23" s="129"/>
      <c r="K23" s="129"/>
      <c r="L23" s="129"/>
      <c r="M23" s="129"/>
      <c r="N23" s="129"/>
      <c r="O23" s="129"/>
      <c r="P23" s="151"/>
      <c r="Q23" s="152"/>
      <c r="R23" s="152"/>
      <c r="S23" s="152"/>
      <c r="T23" s="152"/>
      <c r="U23" s="152"/>
      <c r="V23" s="152"/>
      <c r="W23" s="105" t="str">
        <f t="array" ref="W23:W34">IF(ISBLANK(REP.companycontacts),"",REP.companycontacts)</f>
        <v/>
      </c>
      <c r="X23" s="146"/>
    </row>
    <row r="24" spans="5:24" ht="24" customHeight="1" thickTop="1" thickBot="1" x14ac:dyDescent="0.35">
      <c r="E24" s="127"/>
      <c r="F24" s="127"/>
      <c r="G24" s="129"/>
      <c r="H24" s="129"/>
      <c r="I24" s="129"/>
      <c r="J24" s="129"/>
      <c r="K24" s="129"/>
      <c r="L24" s="129"/>
      <c r="M24" s="129"/>
      <c r="N24" s="129"/>
      <c r="O24" s="129"/>
      <c r="P24" s="151"/>
      <c r="Q24" s="152"/>
      <c r="R24" s="152"/>
      <c r="S24" s="152"/>
      <c r="T24" s="152"/>
      <c r="U24" s="152"/>
      <c r="V24" s="152"/>
      <c r="W24" s="106" t="str">
        <f ca="1"/>
        <v>Global Tourism Solutions (UK) Ltd</v>
      </c>
      <c r="X24" s="146"/>
    </row>
    <row r="25" spans="5:24" ht="16.2" customHeight="1" thickTop="1" thickBot="1" x14ac:dyDescent="0.3">
      <c r="E25" s="149"/>
      <c r="F25" s="149"/>
      <c r="G25" s="149"/>
      <c r="H25" s="149"/>
      <c r="I25" s="149"/>
      <c r="J25" s="149"/>
      <c r="K25" s="149"/>
      <c r="L25" s="149"/>
      <c r="M25" s="149"/>
      <c r="N25" s="149"/>
      <c r="O25" s="149"/>
      <c r="P25" s="153"/>
      <c r="Q25" s="144"/>
      <c r="R25" s="144"/>
      <c r="S25" s="144"/>
      <c r="T25" s="144"/>
      <c r="U25" s="144"/>
      <c r="V25" s="144"/>
      <c r="W25" s="107" t="str">
        <f ca="1"/>
        <v xml:space="preserve">71 Heol Gwys </v>
      </c>
      <c r="X25" s="146"/>
    </row>
    <row r="26" spans="5:24" ht="16.2" customHeight="1" thickTop="1" thickBot="1" x14ac:dyDescent="0.3">
      <c r="E26" s="129"/>
      <c r="F26" s="129"/>
      <c r="G26" s="129"/>
      <c r="H26" s="129"/>
      <c r="I26" s="129"/>
      <c r="J26" s="130"/>
      <c r="K26" s="130"/>
      <c r="L26" s="131"/>
      <c r="M26" s="149"/>
      <c r="N26" s="149"/>
      <c r="O26" s="149"/>
      <c r="P26" s="154"/>
      <c r="Q26" s="155"/>
      <c r="R26" s="156"/>
      <c r="S26" s="152"/>
      <c r="T26" s="152"/>
      <c r="U26" s="152"/>
      <c r="V26" s="152"/>
      <c r="W26" s="108" t="str">
        <f ca="1"/>
        <v xml:space="preserve">Upper Cwmtwrch </v>
      </c>
      <c r="X26" s="146"/>
    </row>
    <row r="27" spans="5:24" ht="16.2" customHeight="1" thickTop="1" thickBot="1" x14ac:dyDescent="0.3">
      <c r="E27" s="129"/>
      <c r="F27" s="129"/>
      <c r="G27" s="129"/>
      <c r="H27" s="129"/>
      <c r="I27" s="129"/>
      <c r="J27" s="141"/>
      <c r="K27" s="141"/>
      <c r="L27" s="135"/>
      <c r="M27" s="129"/>
      <c r="N27" s="129"/>
      <c r="O27" s="129"/>
      <c r="P27" s="157"/>
      <c r="Q27" s="158"/>
      <c r="R27" s="159"/>
      <c r="S27" s="152"/>
      <c r="T27" s="152"/>
      <c r="U27" s="152"/>
      <c r="V27" s="152"/>
      <c r="W27" s="108" t="str">
        <f ca="1"/>
        <v xml:space="preserve">Swansea </v>
      </c>
      <c r="X27" s="146"/>
    </row>
    <row r="28" spans="5:24" ht="16.2" customHeight="1" thickTop="1" thickBot="1" x14ac:dyDescent="0.3">
      <c r="E28" s="129"/>
      <c r="F28" s="129"/>
      <c r="G28" s="129"/>
      <c r="H28" s="129"/>
      <c r="I28" s="129"/>
      <c r="J28" s="141"/>
      <c r="K28" s="141"/>
      <c r="L28" s="135"/>
      <c r="M28" s="129"/>
      <c r="N28" s="129"/>
      <c r="O28" s="129"/>
      <c r="P28" s="157"/>
      <c r="Q28" s="158"/>
      <c r="R28" s="159"/>
      <c r="S28" s="152"/>
      <c r="T28" s="152"/>
      <c r="U28" s="152"/>
      <c r="V28" s="152"/>
      <c r="W28" s="108" t="str">
        <f ca="1"/>
        <v>SA9 2XH</v>
      </c>
      <c r="X28" s="146"/>
    </row>
    <row r="29" spans="5:24" ht="16.2" customHeight="1" thickTop="1" thickBot="1" x14ac:dyDescent="0.3">
      <c r="E29" s="129"/>
      <c r="F29" s="129"/>
      <c r="G29" s="129"/>
      <c r="H29" s="129"/>
      <c r="I29" s="129"/>
      <c r="J29" s="141"/>
      <c r="K29" s="141"/>
      <c r="L29" s="135"/>
      <c r="M29" s="129"/>
      <c r="N29" s="129"/>
      <c r="O29" s="129"/>
      <c r="P29" s="157"/>
      <c r="Q29" s="158"/>
      <c r="R29" s="159"/>
      <c r="S29" s="152"/>
      <c r="T29" s="152"/>
      <c r="U29" s="152"/>
      <c r="V29" s="152"/>
      <c r="W29" s="108">
        <f ca="1"/>
        <v>0</v>
      </c>
      <c r="X29" s="146"/>
    </row>
    <row r="30" spans="5:24" ht="16.2" customHeight="1" thickTop="1" thickBot="1" x14ac:dyDescent="0.3">
      <c r="E30" s="129"/>
      <c r="F30" s="129"/>
      <c r="G30" s="129"/>
      <c r="H30" s="129"/>
      <c r="I30" s="129"/>
      <c r="J30" s="141"/>
      <c r="K30" s="141"/>
      <c r="L30" s="135"/>
      <c r="M30" s="129"/>
      <c r="N30" s="129"/>
      <c r="O30" s="129"/>
      <c r="P30" s="157"/>
      <c r="Q30" s="158"/>
      <c r="R30" s="159"/>
      <c r="S30" s="152"/>
      <c r="T30" s="152"/>
      <c r="U30" s="152"/>
      <c r="V30" s="152"/>
      <c r="W30" s="108">
        <f ca="1"/>
        <v>0</v>
      </c>
      <c r="X30" s="146"/>
    </row>
    <row r="31" spans="5:24" ht="16.2" customHeight="1" thickTop="1" thickBot="1" x14ac:dyDescent="0.3">
      <c r="E31" s="129"/>
      <c r="F31" s="129"/>
      <c r="G31" s="129"/>
      <c r="H31" s="129"/>
      <c r="I31" s="129"/>
      <c r="J31" s="141"/>
      <c r="K31" s="141"/>
      <c r="L31" s="135"/>
      <c r="M31" s="129"/>
      <c r="N31" s="129"/>
      <c r="O31" s="129"/>
      <c r="P31" s="157"/>
      <c r="Q31" s="158"/>
      <c r="R31" s="159"/>
      <c r="S31" s="152"/>
      <c r="T31" s="152"/>
      <c r="U31" s="152"/>
      <c r="V31" s="152"/>
      <c r="W31" s="107" t="str">
        <f ca="1"/>
        <v>Telephone: 0798 445 5388</v>
      </c>
      <c r="X31" s="146"/>
    </row>
    <row r="32" spans="5:24" ht="16.2" customHeight="1" thickTop="1" thickBot="1" x14ac:dyDescent="0.3">
      <c r="E32" s="129"/>
      <c r="F32" s="129"/>
      <c r="G32" s="129"/>
      <c r="H32" s="129"/>
      <c r="I32" s="129"/>
      <c r="J32" s="160"/>
      <c r="K32" s="160"/>
      <c r="L32" s="161"/>
      <c r="M32" s="149"/>
      <c r="N32" s="149"/>
      <c r="O32" s="149"/>
      <c r="P32" s="162"/>
      <c r="Q32" s="163"/>
      <c r="R32" s="164"/>
      <c r="S32" s="152"/>
      <c r="T32" s="152"/>
      <c r="U32" s="152"/>
      <c r="V32" s="152"/>
      <c r="W32" s="107" t="str">
        <f ca="1"/>
        <v>Email: cathryn.j@gtsuk.co.uk</v>
      </c>
      <c r="X32" s="146"/>
    </row>
    <row r="33" spans="4:24" ht="16.2" customHeight="1" thickTop="1" thickBot="1" x14ac:dyDescent="0.3">
      <c r="E33" s="129"/>
      <c r="F33" s="129"/>
      <c r="G33" s="129"/>
      <c r="H33" s="129"/>
      <c r="I33" s="129"/>
      <c r="J33" s="141"/>
      <c r="K33" s="141"/>
      <c r="L33" s="135"/>
      <c r="M33" s="129"/>
      <c r="N33" s="129"/>
      <c r="O33" s="129"/>
      <c r="P33" s="157"/>
      <c r="Q33" s="158"/>
      <c r="R33" s="159"/>
      <c r="S33" s="152"/>
      <c r="T33" s="152"/>
      <c r="U33" s="152"/>
      <c r="V33" s="152"/>
      <c r="W33" s="107" t="str">
        <f ca="1"/>
        <v>Website: www.globaltourismsolutions.co.uk</v>
      </c>
      <c r="X33" s="146"/>
    </row>
    <row r="34" spans="4:24" ht="16.2" customHeight="1" thickTop="1" thickBot="1" x14ac:dyDescent="0.35">
      <c r="E34" s="129"/>
      <c r="F34" s="129"/>
      <c r="G34" s="129"/>
      <c r="H34" s="129"/>
      <c r="I34" s="129"/>
      <c r="J34" s="160"/>
      <c r="K34" s="160"/>
      <c r="L34" s="161"/>
      <c r="M34" s="149"/>
      <c r="N34" s="149"/>
      <c r="O34" s="149"/>
      <c r="P34" s="165"/>
      <c r="Q34" s="166"/>
      <c r="R34" s="167"/>
      <c r="S34" s="168"/>
      <c r="T34" s="168"/>
      <c r="U34" s="168"/>
      <c r="V34" s="168"/>
      <c r="W34" s="109" t="str">
        <v/>
      </c>
      <c r="X34" s="169"/>
    </row>
    <row r="35" spans="4:24" s="174" customFormat="1" ht="16.2" customHeight="1" thickTop="1" thickBot="1" x14ac:dyDescent="0.2">
      <c r="D35" s="170"/>
      <c r="E35" s="171"/>
      <c r="F35" s="172"/>
      <c r="G35" s="172"/>
      <c r="H35" s="172"/>
      <c r="I35" s="172"/>
      <c r="J35" s="172"/>
      <c r="K35" s="172"/>
      <c r="L35" s="172"/>
      <c r="M35" s="172"/>
      <c r="N35" s="172"/>
      <c r="O35" s="172"/>
      <c r="P35" s="172"/>
      <c r="Q35" s="172"/>
      <c r="R35" s="172"/>
      <c r="S35" s="172"/>
      <c r="T35" s="172"/>
      <c r="U35" s="172"/>
      <c r="V35" s="172"/>
      <c r="W35" s="172"/>
      <c r="X35" s="173"/>
    </row>
    <row r="36" spans="4:24" ht="16.2" customHeight="1" thickTop="1" x14ac:dyDescent="0.3"/>
    <row r="67" spans="7:23" ht="16.2" customHeight="1" x14ac:dyDescent="0.3">
      <c r="G67" s="111" t="s">
        <v>43</v>
      </c>
      <c r="H67" s="111" t="s">
        <v>43</v>
      </c>
      <c r="J67" s="111" t="s">
        <v>48</v>
      </c>
      <c r="K67" s="111" t="s">
        <v>48</v>
      </c>
      <c r="M67" s="111" t="s">
        <v>18</v>
      </c>
      <c r="N67" s="111" t="s">
        <v>18</v>
      </c>
      <c r="P67" s="111" t="s">
        <v>95</v>
      </c>
      <c r="S67" s="111" t="s">
        <v>71</v>
      </c>
      <c r="T67" s="111" t="s">
        <v>71</v>
      </c>
      <c r="V67" s="111" t="s">
        <v>54</v>
      </c>
      <c r="W67" s="111" t="s">
        <v>54</v>
      </c>
    </row>
  </sheetData>
  <sheetProtection algorithmName="SHA-512" hashValue="pNGFmeStYFc+bqkXFx3yJ347Cyp5raDgqKEhBbDxvMPAd3LaNe5SiA7PyUrOQxuZCxpozw5wVDrPh+4mdWiJtQ==" saltValue="+WXJ9rCpubPtmFQElIBa9A==" spinCount="100000" sheet="1" objects="1" scenarios="1"/>
  <mergeCells count="4">
    <mergeCell ref="P10:X13"/>
    <mergeCell ref="P14:X14"/>
    <mergeCell ref="P6:X7"/>
    <mergeCell ref="P8:X9"/>
  </mergeCells>
  <printOptions horizontalCentered="1" verticalCentered="1"/>
  <pageMargins left="0.70866141732283472" right="0.70866141732283472" top="0.74803149606299213" bottom="0.74803149606299213" header="0.31496062992125984" footer="0.31496062992125984"/>
  <pageSetup paperSize="9" scale="92"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Client05">
    <tabColor rgb="FF00B0F0"/>
    <outlinePr showOutlineSymbols="0"/>
    <pageSetUpPr autoPageBreaks="0" fitToPage="1"/>
  </sheetPr>
  <dimension ref="A1:Y70"/>
  <sheetViews>
    <sheetView showGridLines="0" showRowColHeaders="0" showZeros="0" showOutlineSymbols="0" topLeftCell="A2" zoomScaleNormal="100" workbookViewId="0">
      <pane ySplit="6" topLeftCell="A11" activePane="bottomLeft" state="frozen"/>
      <selection activeCell="M48" sqref="M48"/>
      <selection pane="bottomLeft" activeCell="Z16" sqref="Z16"/>
    </sheetView>
  </sheetViews>
  <sheetFormatPr defaultColWidth="4.88671875" defaultRowHeight="16.2" customHeight="1" x14ac:dyDescent="0.3"/>
  <cols>
    <col min="1" max="3" width="4.88671875" style="111"/>
    <col min="4" max="4" width="4.88671875" style="112"/>
    <col min="5" max="5" width="19.5546875" style="111" customWidth="1"/>
    <col min="6" max="6" width="5.109375" style="111" customWidth="1"/>
    <col min="7" max="24" width="7.33203125" style="111" customWidth="1"/>
    <col min="25" max="25" width="7.109375" style="111" bestFit="1" customWidth="1"/>
    <col min="26" max="26" width="8.44140625" style="111" bestFit="1" customWidth="1"/>
    <col min="27" max="16384" width="4.88671875" style="111"/>
  </cols>
  <sheetData>
    <row r="1" spans="1:25" ht="16.2" hidden="1" customHeight="1" thickTop="1" thickBot="1" x14ac:dyDescent="0.35">
      <c r="A1" s="110" t="str">
        <f ca="1">MID(CELL("filename",A1),FIND("]",CELL("filename",A1))+1,255)</f>
        <v>CONTENTS</v>
      </c>
      <c r="E1" s="113"/>
      <c r="F1" s="114"/>
      <c r="G1" s="114"/>
      <c r="H1" s="114"/>
      <c r="I1" s="114"/>
      <c r="J1" s="114"/>
      <c r="K1" s="114"/>
      <c r="L1" s="114"/>
      <c r="M1" s="114"/>
      <c r="N1" s="114"/>
      <c r="O1" s="114"/>
      <c r="P1" s="114"/>
      <c r="Q1" s="114"/>
      <c r="R1" s="114"/>
      <c r="S1" s="114"/>
      <c r="T1" s="114"/>
      <c r="U1" s="114"/>
      <c r="V1" s="114"/>
      <c r="W1" s="114"/>
      <c r="X1" s="115"/>
    </row>
    <row r="2" spans="1:25" ht="16.2" customHeight="1" thickTop="1" x14ac:dyDescent="0.3">
      <c r="E2" s="116"/>
      <c r="F2" s="117"/>
      <c r="G2" s="117"/>
      <c r="H2" s="117"/>
      <c r="I2" s="117"/>
      <c r="J2" s="117"/>
      <c r="K2" s="117"/>
      <c r="L2" s="117"/>
      <c r="M2" s="117"/>
      <c r="N2" s="117"/>
      <c r="O2" s="117"/>
      <c r="P2" s="117"/>
      <c r="Q2" s="117"/>
      <c r="R2" s="117"/>
      <c r="S2" s="117"/>
      <c r="T2" s="117"/>
      <c r="U2" s="117"/>
      <c r="V2" s="117"/>
      <c r="W2" s="117"/>
      <c r="X2" s="118"/>
    </row>
    <row r="3" spans="1:25" ht="26.4" customHeight="1" x14ac:dyDescent="0.3">
      <c r="E3" s="119"/>
      <c r="F3" s="120"/>
      <c r="G3" s="120"/>
      <c r="H3" s="120"/>
      <c r="I3" s="120"/>
      <c r="J3" s="120"/>
      <c r="K3" s="120"/>
      <c r="L3" s="120"/>
      <c r="M3" s="120"/>
      <c r="N3" s="120"/>
      <c r="O3" s="120"/>
      <c r="P3" s="120"/>
      <c r="Q3" s="120"/>
      <c r="R3" s="120"/>
      <c r="S3" s="120"/>
      <c r="T3" s="120"/>
      <c r="U3" s="120"/>
      <c r="V3" s="120"/>
      <c r="W3" s="120"/>
      <c r="X3" s="121"/>
    </row>
    <row r="4" spans="1:25" ht="26.4" customHeight="1" x14ac:dyDescent="0.3">
      <c r="E4" s="204"/>
      <c r="F4" s="205"/>
      <c r="G4" s="205"/>
      <c r="H4" s="205"/>
      <c r="I4" s="205"/>
      <c r="J4" s="205"/>
      <c r="K4" s="205"/>
      <c r="L4" s="205"/>
      <c r="M4" s="205"/>
      <c r="N4" s="205"/>
      <c r="O4" s="205"/>
      <c r="P4" s="205"/>
      <c r="Q4" s="205"/>
      <c r="R4" s="205"/>
      <c r="S4" s="205"/>
      <c r="T4" s="205"/>
      <c r="U4" s="205"/>
      <c r="V4" s="205"/>
      <c r="W4" s="205"/>
      <c r="X4" s="206"/>
    </row>
    <row r="5" spans="1:25" ht="26.4" customHeight="1" thickBot="1" x14ac:dyDescent="0.35">
      <c r="E5" s="207"/>
      <c r="F5" s="208"/>
      <c r="G5" s="208"/>
      <c r="H5" s="208"/>
      <c r="I5" s="208"/>
      <c r="J5" s="208"/>
      <c r="K5" s="208"/>
      <c r="L5" s="208"/>
      <c r="M5" s="208"/>
      <c r="N5" s="208"/>
      <c r="O5" s="208"/>
      <c r="P5" s="208"/>
      <c r="Q5" s="208"/>
      <c r="R5" s="208"/>
      <c r="S5" s="208"/>
      <c r="T5" s="208"/>
      <c r="U5" s="208"/>
      <c r="V5" s="208"/>
      <c r="W5" s="208"/>
      <c r="X5" s="209"/>
    </row>
    <row r="6" spans="1:25" ht="16.2" customHeight="1" thickTop="1" x14ac:dyDescent="0.3">
      <c r="E6" s="559" t="str">
        <f>REP.title1</f>
        <v>STEAM FINAL TREND REPORT FOR 2011-2022</v>
      </c>
      <c r="F6" s="560"/>
      <c r="G6" s="560"/>
      <c r="H6" s="560"/>
      <c r="I6" s="560"/>
      <c r="J6" s="560"/>
      <c r="K6" s="560"/>
      <c r="L6" s="560"/>
      <c r="M6" s="560"/>
      <c r="N6" s="560"/>
      <c r="O6" s="560"/>
      <c r="P6" s="561"/>
      <c r="Q6" s="561"/>
      <c r="R6" s="561"/>
      <c r="S6" s="561"/>
      <c r="T6" s="795" t="s">
        <v>141</v>
      </c>
      <c r="U6" s="795"/>
      <c r="V6" s="795"/>
      <c r="W6" s="795"/>
      <c r="X6" s="796"/>
    </row>
    <row r="7" spans="1:25" ht="16.2" customHeight="1" thickBot="1" x14ac:dyDescent="0.35">
      <c r="E7" s="562" t="str">
        <f>REP.title2</f>
        <v>GWYNEDD COUNCIL</v>
      </c>
      <c r="F7" s="563"/>
      <c r="G7" s="563"/>
      <c r="H7" s="563"/>
      <c r="I7" s="564"/>
      <c r="J7" s="564"/>
      <c r="K7" s="564"/>
      <c r="L7" s="564"/>
      <c r="M7" s="564"/>
      <c r="N7" s="564"/>
      <c r="O7" s="565"/>
      <c r="P7" s="565"/>
      <c r="Q7" s="565"/>
      <c r="R7" s="565"/>
      <c r="S7" s="565"/>
      <c r="T7" s="798"/>
      <c r="U7" s="798"/>
      <c r="V7" s="798"/>
      <c r="W7" s="798"/>
      <c r="X7" s="799"/>
    </row>
    <row r="8" spans="1:25" ht="16.2" customHeight="1" thickTop="1" thickBot="1" x14ac:dyDescent="0.35">
      <c r="E8" s="243"/>
      <c r="F8" s="244"/>
      <c r="G8" s="244"/>
      <c r="H8" s="244"/>
      <c r="I8" s="244"/>
      <c r="J8" s="244"/>
      <c r="K8" s="244"/>
      <c r="L8" s="244"/>
      <c r="M8" s="244"/>
      <c r="N8" s="244"/>
      <c r="O8" s="243"/>
      <c r="P8" s="244"/>
      <c r="Q8" s="244"/>
      <c r="R8" s="244"/>
      <c r="S8" s="244"/>
      <c r="T8" s="244"/>
      <c r="U8" s="244"/>
      <c r="V8" s="244"/>
      <c r="W8" s="244"/>
      <c r="X8" s="245"/>
    </row>
    <row r="9" spans="1:25" s="125" customFormat="1" ht="16.2" customHeight="1" thickTop="1" thickBot="1" x14ac:dyDescent="0.35">
      <c r="E9" s="536"/>
      <c r="F9" s="537"/>
      <c r="G9" s="537"/>
      <c r="H9" s="537"/>
      <c r="I9" s="537"/>
      <c r="J9" s="537"/>
      <c r="K9" s="537"/>
      <c r="L9" s="537"/>
      <c r="M9" s="537"/>
      <c r="N9" s="538"/>
      <c r="O9" s="536"/>
      <c r="P9" s="537"/>
      <c r="Q9" s="537"/>
      <c r="R9" s="537"/>
      <c r="S9" s="537"/>
      <c r="T9" s="537"/>
      <c r="U9" s="537"/>
      <c r="V9" s="537"/>
      <c r="W9" s="537"/>
      <c r="X9" s="538"/>
    </row>
    <row r="10" spans="1:25" s="125" customFormat="1" ht="16.2" customHeight="1" thickTop="1" thickBot="1" x14ac:dyDescent="0.35">
      <c r="E10" s="241"/>
      <c r="F10" s="242"/>
      <c r="G10" s="243"/>
      <c r="H10" s="244"/>
      <c r="I10" s="244"/>
      <c r="J10" s="244"/>
      <c r="K10" s="244"/>
      <c r="L10" s="244"/>
      <c r="M10" s="244"/>
      <c r="N10" s="244"/>
      <c r="O10" s="244"/>
      <c r="P10" s="244"/>
      <c r="Q10" s="244"/>
      <c r="R10" s="245"/>
      <c r="S10" s="246"/>
      <c r="T10" s="246"/>
      <c r="U10" s="247"/>
      <c r="V10" s="248"/>
      <c r="W10" s="248"/>
      <c r="X10" s="249"/>
    </row>
    <row r="11" spans="1:25" s="125" customFormat="1" ht="16.2" customHeight="1" thickTop="1" thickBot="1" x14ac:dyDescent="0.35">
      <c r="E11" s="241"/>
      <c r="F11" s="242"/>
      <c r="G11" s="241"/>
      <c r="H11" s="250"/>
      <c r="I11" s="242"/>
      <c r="J11" s="241"/>
      <c r="K11" s="250"/>
      <c r="L11" s="242"/>
      <c r="M11" s="251"/>
      <c r="N11" s="252"/>
      <c r="O11" s="253"/>
      <c r="P11" s="251"/>
      <c r="Q11" s="252"/>
      <c r="R11" s="253"/>
      <c r="S11" s="254"/>
      <c r="T11" s="254"/>
      <c r="U11" s="255"/>
      <c r="V11" s="256"/>
      <c r="W11" s="256"/>
      <c r="X11" s="257"/>
    </row>
    <row r="12" spans="1:25" ht="16.2" customHeight="1" thickTop="1" thickBot="1" x14ac:dyDescent="0.35">
      <c r="E12" s="258"/>
      <c r="F12" s="259"/>
      <c r="G12" s="260"/>
      <c r="H12" s="260"/>
      <c r="I12" s="260"/>
      <c r="J12" s="260"/>
      <c r="K12" s="260"/>
      <c r="L12" s="260"/>
      <c r="M12" s="261"/>
      <c r="N12" s="261"/>
      <c r="O12" s="261"/>
      <c r="P12" s="261"/>
      <c r="Q12" s="261"/>
      <c r="R12" s="261"/>
      <c r="S12" s="262"/>
      <c r="T12" s="262"/>
      <c r="U12" s="263"/>
      <c r="V12" s="263"/>
      <c r="W12" s="213"/>
      <c r="X12" s="213"/>
    </row>
    <row r="13" spans="1:25" ht="16.2" customHeight="1" thickTop="1" thickBot="1" x14ac:dyDescent="0.35">
      <c r="E13" s="264"/>
      <c r="F13" s="264"/>
      <c r="G13" s="135"/>
      <c r="H13" s="135"/>
      <c r="I13" s="135"/>
      <c r="J13" s="135"/>
      <c r="K13" s="135"/>
      <c r="L13" s="135"/>
      <c r="M13" s="192"/>
      <c r="N13" s="192"/>
      <c r="O13" s="192"/>
      <c r="P13" s="192"/>
      <c r="Q13" s="192"/>
      <c r="R13" s="192"/>
      <c r="S13" s="192"/>
      <c r="T13" s="265"/>
      <c r="U13" s="135"/>
      <c r="V13" s="135"/>
      <c r="W13" s="135"/>
      <c r="X13" s="135"/>
    </row>
    <row r="14" spans="1:25" ht="16.2" customHeight="1" thickTop="1" thickBot="1" x14ac:dyDescent="0.35">
      <c r="E14" s="264"/>
      <c r="F14" s="264"/>
      <c r="G14" s="135"/>
      <c r="H14" s="135"/>
      <c r="I14" s="135"/>
      <c r="J14" s="135"/>
      <c r="K14" s="135"/>
      <c r="L14" s="135"/>
      <c r="M14" s="192"/>
      <c r="N14" s="192"/>
      <c r="O14" s="192"/>
      <c r="P14" s="192"/>
      <c r="Q14" s="192"/>
      <c r="R14" s="192"/>
      <c r="S14" s="192"/>
      <c r="T14" s="265"/>
      <c r="U14" s="135"/>
      <c r="V14" s="135"/>
      <c r="W14" s="135"/>
      <c r="X14" s="135"/>
    </row>
    <row r="15" spans="1:25" ht="16.2" customHeight="1" thickTop="1" thickBot="1" x14ac:dyDescent="0.35">
      <c r="E15" s="264"/>
      <c r="F15" s="264"/>
      <c r="G15" s="135"/>
      <c r="H15" s="135"/>
      <c r="I15" s="135"/>
      <c r="J15" s="135"/>
      <c r="K15" s="135"/>
      <c r="L15" s="135"/>
      <c r="M15" s="192"/>
      <c r="N15" s="192"/>
      <c r="O15" s="192"/>
      <c r="P15" s="192"/>
      <c r="Q15" s="192"/>
      <c r="R15" s="192"/>
      <c r="S15" s="192"/>
      <c r="T15" s="265"/>
      <c r="U15" s="135"/>
      <c r="V15" s="135"/>
      <c r="W15" s="135"/>
      <c r="X15" s="135"/>
    </row>
    <row r="16" spans="1:25" ht="16.2" customHeight="1" thickTop="1" thickBot="1" x14ac:dyDescent="0.35">
      <c r="E16" s="266"/>
      <c r="F16" s="267"/>
      <c r="G16" s="268"/>
      <c r="H16" s="268"/>
      <c r="I16" s="268"/>
      <c r="J16" s="268"/>
      <c r="K16" s="268"/>
      <c r="L16" s="268"/>
      <c r="M16" s="269"/>
      <c r="N16" s="269"/>
      <c r="O16" s="269"/>
      <c r="P16" s="269"/>
      <c r="Q16" s="269"/>
      <c r="R16" s="269"/>
      <c r="S16" s="269"/>
      <c r="T16" s="265"/>
      <c r="U16" s="268"/>
      <c r="V16" s="268"/>
      <c r="W16" s="269"/>
      <c r="X16" s="269"/>
      <c r="Y16" s="270"/>
    </row>
    <row r="17" spans="4:24" ht="16.2" customHeight="1" thickTop="1" thickBot="1" x14ac:dyDescent="0.35">
      <c r="E17" s="266"/>
      <c r="F17" s="267"/>
      <c r="G17" s="268"/>
      <c r="H17" s="268"/>
      <c r="I17" s="268"/>
      <c r="J17" s="268"/>
      <c r="K17" s="268"/>
      <c r="L17" s="268"/>
      <c r="M17" s="269"/>
      <c r="N17" s="269"/>
      <c r="O17" s="269"/>
      <c r="P17" s="269"/>
      <c r="Q17" s="269"/>
      <c r="R17" s="269"/>
      <c r="S17" s="269"/>
      <c r="T17" s="135"/>
      <c r="U17" s="268"/>
      <c r="V17" s="268"/>
      <c r="W17" s="269"/>
      <c r="X17" s="269"/>
    </row>
    <row r="18" spans="4:24" ht="16.2" customHeight="1" thickTop="1" thickBot="1" x14ac:dyDescent="0.35">
      <c r="E18" s="266"/>
      <c r="F18" s="267"/>
      <c r="G18" s="268"/>
      <c r="H18" s="268"/>
      <c r="I18" s="268"/>
      <c r="J18" s="268"/>
      <c r="K18" s="268"/>
      <c r="L18" s="268"/>
      <c r="M18" s="269"/>
      <c r="N18" s="269"/>
      <c r="O18" s="269"/>
      <c r="P18" s="269"/>
      <c r="Q18" s="269"/>
      <c r="R18" s="269"/>
      <c r="S18" s="269"/>
      <c r="T18" s="135"/>
      <c r="U18" s="268"/>
      <c r="V18" s="268"/>
      <c r="W18" s="269"/>
      <c r="X18" s="269"/>
    </row>
    <row r="19" spans="4:24" ht="16.2" customHeight="1" thickTop="1" thickBot="1" x14ac:dyDescent="0.35">
      <c r="E19" s="266"/>
      <c r="F19" s="229"/>
      <c r="G19" s="271"/>
      <c r="H19" s="271"/>
      <c r="I19" s="271"/>
      <c r="J19" s="271"/>
      <c r="K19" s="271"/>
      <c r="L19" s="271"/>
      <c r="M19" s="272"/>
      <c r="N19" s="272"/>
      <c r="O19" s="273"/>
      <c r="P19" s="272"/>
      <c r="Q19" s="272"/>
      <c r="R19" s="272"/>
      <c r="S19" s="272"/>
      <c r="T19" s="274"/>
      <c r="U19" s="271"/>
      <c r="V19" s="271"/>
      <c r="W19" s="272"/>
      <c r="X19" s="275"/>
    </row>
    <row r="20" spans="4:24" ht="16.2" customHeight="1" thickTop="1" thickBot="1" x14ac:dyDescent="0.35">
      <c r="E20" s="243"/>
      <c r="F20" s="244"/>
      <c r="G20" s="244"/>
      <c r="H20" s="244"/>
      <c r="I20" s="244"/>
      <c r="J20" s="244"/>
      <c r="K20" s="244"/>
      <c r="L20" s="244"/>
      <c r="M20" s="244"/>
      <c r="N20" s="244"/>
      <c r="O20" s="543"/>
      <c r="P20" s="544"/>
      <c r="Q20" s="544"/>
      <c r="R20" s="544"/>
      <c r="S20" s="544"/>
      <c r="T20" s="544"/>
      <c r="U20" s="544"/>
      <c r="V20" s="544"/>
      <c r="W20" s="544"/>
      <c r="X20" s="545"/>
    </row>
    <row r="21" spans="4:24" ht="16.2" customHeight="1" thickTop="1" thickBot="1" x14ac:dyDescent="0.35">
      <c r="E21" s="536"/>
      <c r="F21" s="537"/>
      <c r="G21" s="537"/>
      <c r="H21" s="537"/>
      <c r="I21" s="537"/>
      <c r="J21" s="537"/>
      <c r="K21" s="537"/>
      <c r="L21" s="537"/>
      <c r="M21" s="537"/>
      <c r="N21" s="538"/>
      <c r="O21" s="536"/>
      <c r="P21" s="537"/>
      <c r="Q21" s="537"/>
      <c r="R21" s="537"/>
      <c r="S21" s="537"/>
      <c r="T21" s="537"/>
      <c r="U21" s="537"/>
      <c r="V21" s="537"/>
      <c r="W21" s="537"/>
      <c r="X21" s="538"/>
    </row>
    <row r="22" spans="4:24" ht="16.2" customHeight="1" thickTop="1" thickBot="1" x14ac:dyDescent="0.35">
      <c r="E22" s="241"/>
      <c r="F22" s="242"/>
      <c r="G22" s="243"/>
      <c r="H22" s="244"/>
      <c r="I22" s="244"/>
      <c r="J22" s="244"/>
      <c r="K22" s="244"/>
      <c r="L22" s="244"/>
      <c r="M22" s="244"/>
      <c r="N22" s="244"/>
      <c r="O22" s="241"/>
      <c r="P22" s="242"/>
      <c r="Q22" s="243"/>
      <c r="R22" s="244"/>
      <c r="S22" s="244"/>
      <c r="T22" s="244"/>
      <c r="U22" s="244"/>
      <c r="V22" s="244"/>
      <c r="W22" s="244"/>
      <c r="X22" s="245"/>
    </row>
    <row r="23" spans="4:24" ht="16.2" customHeight="1" thickTop="1" thickBot="1" x14ac:dyDescent="0.35">
      <c r="E23" s="241"/>
      <c r="F23" s="242"/>
      <c r="G23" s="241"/>
      <c r="H23" s="250"/>
      <c r="I23" s="242"/>
      <c r="J23" s="241"/>
      <c r="K23" s="250"/>
      <c r="L23" s="242"/>
      <c r="M23" s="251"/>
      <c r="N23" s="252"/>
      <c r="O23" s="241"/>
      <c r="P23" s="242"/>
      <c r="Q23" s="241"/>
      <c r="R23" s="250"/>
      <c r="S23" s="242"/>
      <c r="T23" s="241"/>
      <c r="U23" s="250"/>
      <c r="V23" s="242"/>
      <c r="W23" s="251"/>
      <c r="X23" s="253"/>
    </row>
    <row r="24" spans="4:24" ht="16.2" customHeight="1" thickTop="1" thickBot="1" x14ac:dyDescent="0.35">
      <c r="E24" s="258"/>
      <c r="F24" s="259"/>
      <c r="G24" s="260"/>
      <c r="H24" s="260"/>
      <c r="I24" s="260"/>
      <c r="J24" s="260"/>
      <c r="K24" s="260"/>
      <c r="L24" s="260"/>
      <c r="M24" s="261"/>
      <c r="N24" s="261"/>
      <c r="O24" s="258"/>
      <c r="P24" s="259"/>
      <c r="Q24" s="260"/>
      <c r="R24" s="260"/>
      <c r="S24" s="260"/>
      <c r="T24" s="260"/>
      <c r="U24" s="260"/>
      <c r="V24" s="260"/>
      <c r="W24" s="261"/>
      <c r="X24" s="133"/>
    </row>
    <row r="25" spans="4:24" ht="16.2" customHeight="1" thickTop="1" thickBot="1" x14ac:dyDescent="0.35">
      <c r="E25" s="264"/>
      <c r="F25" s="264"/>
      <c r="G25" s="135"/>
      <c r="H25" s="135"/>
      <c r="I25" s="135"/>
      <c r="J25" s="135"/>
      <c r="K25" s="135"/>
      <c r="L25" s="135"/>
      <c r="M25" s="192"/>
      <c r="N25" s="192"/>
      <c r="O25" s="264"/>
      <c r="P25" s="264"/>
      <c r="Q25" s="135"/>
      <c r="R25" s="135"/>
      <c r="S25" s="135"/>
      <c r="T25" s="135"/>
      <c r="U25" s="135"/>
      <c r="V25" s="135"/>
      <c r="W25" s="192"/>
      <c r="X25" s="192"/>
    </row>
    <row r="26" spans="4:24" ht="16.2" customHeight="1" thickTop="1" thickBot="1" x14ac:dyDescent="0.35">
      <c r="E26" s="264"/>
      <c r="F26" s="264"/>
      <c r="G26" s="135"/>
      <c r="H26" s="135"/>
      <c r="I26" s="135"/>
      <c r="J26" s="135"/>
      <c r="K26" s="135"/>
      <c r="L26" s="135"/>
      <c r="M26" s="192"/>
      <c r="N26" s="192"/>
      <c r="O26" s="264"/>
      <c r="P26" s="264"/>
      <c r="Q26" s="135"/>
      <c r="R26" s="135"/>
      <c r="S26" s="135"/>
      <c r="T26" s="135"/>
      <c r="U26" s="135"/>
      <c r="V26" s="135"/>
      <c r="W26" s="192"/>
      <c r="X26" s="192"/>
    </row>
    <row r="27" spans="4:24" ht="16.2" customHeight="1" thickTop="1" thickBot="1" x14ac:dyDescent="0.35">
      <c r="D27" s="196" t="str">
        <f ca="1">"'"&amp;$A$1&amp;"'!"&amp;CELL("address",G27)&amp;":"&amp;CELL("address",OFFSET(G27,0,COUNT(REP.yearsrange)-1))</f>
        <v>'CONTENTS'!$G$27:$R$27</v>
      </c>
      <c r="E27" s="264"/>
      <c r="F27" s="264"/>
      <c r="G27" s="135"/>
      <c r="H27" s="135"/>
      <c r="I27" s="135"/>
      <c r="J27" s="135"/>
      <c r="K27" s="135"/>
      <c r="L27" s="135"/>
      <c r="M27" s="192"/>
      <c r="N27" s="192"/>
      <c r="O27" s="264"/>
      <c r="P27" s="264"/>
      <c r="Q27" s="135"/>
      <c r="R27" s="135"/>
      <c r="S27" s="135"/>
      <c r="T27" s="135"/>
      <c r="U27" s="135"/>
      <c r="V27" s="135"/>
      <c r="W27" s="192"/>
      <c r="X27" s="192"/>
    </row>
    <row r="28" spans="4:24" ht="16.2" customHeight="1" thickTop="1" thickBot="1" x14ac:dyDescent="0.35">
      <c r="D28" s="196" t="str">
        <f ca="1">"'"&amp;$A$1&amp;"'!"&amp;CELL("address",G28)&amp;":"&amp;CELL("address",OFFSET(G28,0,COUNT(REP.yearsrange)-1))</f>
        <v>'CONTENTS'!$G$28:$R$28</v>
      </c>
      <c r="E28" s="266"/>
      <c r="F28" s="267"/>
      <c r="G28" s="268"/>
      <c r="H28" s="268"/>
      <c r="I28" s="268"/>
      <c r="J28" s="268"/>
      <c r="K28" s="268"/>
      <c r="L28" s="268"/>
      <c r="M28" s="269"/>
      <c r="N28" s="269"/>
      <c r="O28" s="266"/>
      <c r="P28" s="267"/>
      <c r="Q28" s="268"/>
      <c r="R28" s="268"/>
      <c r="S28" s="268"/>
      <c r="T28" s="268"/>
      <c r="U28" s="268"/>
      <c r="V28" s="268"/>
      <c r="W28" s="269"/>
      <c r="X28" s="269"/>
    </row>
    <row r="29" spans="4:24" ht="16.2" customHeight="1" thickTop="1" thickBot="1" x14ac:dyDescent="0.35">
      <c r="D29" s="196" t="str">
        <f ca="1">"'"&amp;$A$1&amp;"'!"&amp;CELL("address",G29)&amp;":"&amp;CELL("address",OFFSET(G29,0,COUNT(REP.yearsrange)-1))</f>
        <v>'CONTENTS'!$G$29:$R$29</v>
      </c>
      <c r="E29" s="266"/>
      <c r="F29" s="267"/>
      <c r="G29" s="268"/>
      <c r="H29" s="268"/>
      <c r="I29" s="268"/>
      <c r="J29" s="268"/>
      <c r="K29" s="268"/>
      <c r="L29" s="268"/>
      <c r="M29" s="269"/>
      <c r="N29" s="269"/>
      <c r="O29" s="266"/>
      <c r="P29" s="267"/>
      <c r="Q29" s="268"/>
      <c r="R29" s="268"/>
      <c r="S29" s="268"/>
      <c r="T29" s="268"/>
      <c r="U29" s="268"/>
      <c r="V29" s="268"/>
      <c r="W29" s="269"/>
      <c r="X29" s="269"/>
    </row>
    <row r="30" spans="4:24" ht="16.2" customHeight="1" thickTop="1" thickBot="1" x14ac:dyDescent="0.35">
      <c r="D30" s="196" t="str">
        <f ca="1">"'"&amp;$A$1&amp;"'!"&amp;CELL("address",G30)&amp;":"&amp;CELL("address",OFFSET(G30,0,COUNT(REP.yearsrange)-1))</f>
        <v>'CONTENTS'!$G$30:$R$30</v>
      </c>
      <c r="E30" s="266"/>
      <c r="F30" s="267"/>
      <c r="G30" s="268"/>
      <c r="H30" s="268"/>
      <c r="I30" s="268"/>
      <c r="J30" s="268"/>
      <c r="K30" s="268"/>
      <c r="L30" s="268"/>
      <c r="M30" s="269"/>
      <c r="N30" s="269"/>
      <c r="O30" s="266"/>
      <c r="P30" s="267"/>
      <c r="Q30" s="268"/>
      <c r="R30" s="268"/>
      <c r="S30" s="268"/>
      <c r="T30" s="268"/>
      <c r="U30" s="268"/>
      <c r="V30" s="268"/>
      <c r="W30" s="269"/>
      <c r="X30" s="269"/>
    </row>
    <row r="31" spans="4:24" ht="16.2" customHeight="1" thickTop="1" thickBot="1" x14ac:dyDescent="0.35">
      <c r="D31" s="196" t="str">
        <f ca="1">"'"&amp;$A$1&amp;"'!"&amp;CELL("address",G31)&amp;":"&amp;CELL("address",OFFSET(G31,0,COUNT(REP.yearsrange)-1))</f>
        <v>'CONTENTS'!$G$31:$R$31</v>
      </c>
      <c r="E31" s="266"/>
      <c r="F31" s="267"/>
      <c r="G31" s="268"/>
      <c r="H31" s="268"/>
      <c r="I31" s="268"/>
      <c r="J31" s="268"/>
      <c r="K31" s="268"/>
      <c r="L31" s="268"/>
      <c r="M31" s="269"/>
      <c r="N31" s="269"/>
      <c r="O31" s="266"/>
      <c r="P31" s="267"/>
      <c r="Q31" s="268"/>
      <c r="R31" s="268"/>
      <c r="S31" s="268"/>
      <c r="T31" s="268"/>
      <c r="U31" s="268"/>
      <c r="V31" s="268"/>
      <c r="W31" s="269"/>
      <c r="X31" s="269"/>
    </row>
    <row r="32" spans="4:24" ht="16.2" customHeight="1" thickTop="1" thickBot="1" x14ac:dyDescent="0.35">
      <c r="D32" s="196" t="str">
        <f ca="1">"'"&amp;$A$1&amp;"'!"&amp;CELL("address",G32)&amp;":"&amp;CELL("address",OFFSET(G32,0,COUNT(REP.yearsrange)-1))</f>
        <v>'CONTENTS'!$G$32:$R$32</v>
      </c>
      <c r="E32" s="243"/>
      <c r="F32" s="245"/>
      <c r="G32" s="546"/>
      <c r="H32" s="546"/>
      <c r="I32" s="547"/>
      <c r="J32" s="547"/>
      <c r="K32" s="547"/>
      <c r="L32" s="547"/>
      <c r="M32" s="547"/>
      <c r="N32" s="547"/>
      <c r="O32" s="547"/>
      <c r="P32" s="547"/>
      <c r="Q32" s="547"/>
      <c r="R32" s="547"/>
      <c r="S32" s="268"/>
      <c r="T32" s="539"/>
      <c r="U32" s="539"/>
      <c r="V32" s="539"/>
      <c r="W32" s="539"/>
      <c r="X32" s="540"/>
    </row>
    <row r="33" spans="4:24" ht="16.2" customHeight="1" thickTop="1" thickBot="1" x14ac:dyDescent="0.35">
      <c r="D33" s="196"/>
      <c r="E33" s="548"/>
      <c r="F33" s="549"/>
      <c r="G33" s="135"/>
      <c r="H33" s="135"/>
      <c r="I33" s="135"/>
      <c r="J33" s="135"/>
      <c r="K33" s="135"/>
      <c r="L33" s="135"/>
      <c r="M33" s="135"/>
      <c r="N33" s="135"/>
      <c r="O33" s="135"/>
      <c r="P33" s="135"/>
      <c r="Q33" s="135"/>
      <c r="R33" s="135"/>
      <c r="S33" s="276"/>
      <c r="T33" s="541"/>
      <c r="U33" s="541"/>
      <c r="V33" s="541"/>
      <c r="W33" s="541"/>
      <c r="X33" s="542"/>
    </row>
    <row r="34" spans="4:24" ht="16.2" customHeight="1" thickTop="1" thickBot="1" x14ac:dyDescent="0.35">
      <c r="D34" s="196"/>
      <c r="E34" s="548"/>
      <c r="F34" s="549"/>
      <c r="G34" s="135"/>
      <c r="H34" s="135"/>
      <c r="I34" s="135"/>
      <c r="J34" s="135"/>
      <c r="K34" s="135"/>
      <c r="L34" s="135"/>
      <c r="M34" s="135"/>
      <c r="N34" s="135"/>
      <c r="O34" s="135"/>
      <c r="P34" s="135"/>
      <c r="Q34" s="135"/>
      <c r="R34" s="135"/>
      <c r="S34" s="276"/>
      <c r="T34" s="276"/>
      <c r="U34" s="276"/>
      <c r="V34" s="276"/>
      <c r="W34" s="277"/>
      <c r="X34" s="278"/>
    </row>
    <row r="35" spans="4:24" ht="16.2" customHeight="1" thickTop="1" thickBot="1" x14ac:dyDescent="0.35">
      <c r="D35" s="196"/>
      <c r="E35" s="548"/>
      <c r="F35" s="549"/>
      <c r="G35" s="135"/>
      <c r="H35" s="135"/>
      <c r="I35" s="135"/>
      <c r="J35" s="135"/>
      <c r="K35" s="135"/>
      <c r="L35" s="135"/>
      <c r="M35" s="135"/>
      <c r="N35" s="135"/>
      <c r="O35" s="135"/>
      <c r="P35" s="135"/>
      <c r="Q35" s="135"/>
      <c r="R35" s="135"/>
      <c r="S35" s="276"/>
      <c r="T35" s="276"/>
      <c r="U35" s="276"/>
      <c r="V35" s="276"/>
      <c r="W35" s="277"/>
      <c r="X35" s="278"/>
    </row>
    <row r="36" spans="4:24" ht="16.2" customHeight="1" thickTop="1" thickBot="1" x14ac:dyDescent="0.35">
      <c r="D36" s="196"/>
      <c r="E36" s="550"/>
      <c r="F36" s="551"/>
      <c r="G36" s="135"/>
      <c r="H36" s="135"/>
      <c r="I36" s="135"/>
      <c r="J36" s="135"/>
      <c r="K36" s="135"/>
      <c r="L36" s="135"/>
      <c r="M36" s="135"/>
      <c r="N36" s="135"/>
      <c r="O36" s="135"/>
      <c r="P36" s="135"/>
      <c r="Q36" s="135"/>
      <c r="R36" s="135"/>
      <c r="S36" s="276"/>
      <c r="T36" s="276"/>
      <c r="U36" s="276"/>
      <c r="V36" s="276"/>
      <c r="W36" s="277"/>
      <c r="X36" s="278"/>
    </row>
    <row r="37" spans="4:24" ht="16.2" customHeight="1" thickTop="1" thickBot="1" x14ac:dyDescent="0.35">
      <c r="D37" s="196"/>
      <c r="E37" s="444"/>
      <c r="F37" s="445"/>
      <c r="G37" s="446"/>
      <c r="H37" s="446"/>
      <c r="I37" s="446"/>
      <c r="J37" s="446"/>
      <c r="K37" s="446"/>
      <c r="L37" s="446"/>
      <c r="M37" s="446"/>
      <c r="N37" s="446"/>
      <c r="O37" s="446"/>
      <c r="P37" s="446"/>
      <c r="Q37" s="446"/>
      <c r="R37" s="446"/>
      <c r="S37" s="276"/>
      <c r="T37" s="276"/>
      <c r="U37" s="276"/>
      <c r="V37" s="276"/>
      <c r="W37" s="277"/>
      <c r="X37" s="278"/>
    </row>
    <row r="38" spans="4:24" s="174" customFormat="1" ht="16.2" customHeight="1" thickTop="1" thickBot="1" x14ac:dyDescent="0.2">
      <c r="D38" s="170"/>
      <c r="E38" s="171" t="str">
        <f>REP.footer1</f>
        <v>This report is copyright © Global Tourism Solutions (UK) Ltd 2023</v>
      </c>
      <c r="F38" s="172"/>
      <c r="G38" s="172"/>
      <c r="H38" s="172"/>
      <c r="I38" s="172"/>
      <c r="J38" s="172"/>
      <c r="K38" s="172"/>
      <c r="L38" s="172"/>
      <c r="M38" s="172"/>
      <c r="N38" s="172"/>
      <c r="O38" s="172"/>
      <c r="P38" s="172"/>
      <c r="Q38" s="172"/>
      <c r="R38" s="172"/>
      <c r="S38" s="172"/>
      <c r="T38" s="172"/>
      <c r="U38" s="172"/>
      <c r="V38" s="172"/>
      <c r="W38" s="172"/>
      <c r="X38" s="173" t="str">
        <f>REP.footer2</f>
        <v>Report Prepared by: Cathy James. Date of Issue: 14/08/23</v>
      </c>
    </row>
    <row r="39" spans="4:24" ht="16.2" customHeight="1" thickTop="1" x14ac:dyDescent="0.3"/>
    <row r="40" spans="4:24" ht="16.2" customHeight="1" x14ac:dyDescent="0.3">
      <c r="G40" s="240"/>
      <c r="H40" s="240"/>
      <c r="I40" s="240"/>
      <c r="J40" s="240"/>
      <c r="K40" s="240"/>
      <c r="L40" s="240"/>
      <c r="M40" s="240"/>
      <c r="N40" s="240"/>
      <c r="O40" s="240"/>
      <c r="P40" s="240"/>
      <c r="Q40" s="240"/>
      <c r="R40" s="240"/>
      <c r="S40" s="240"/>
      <c r="T40" s="240"/>
      <c r="U40" s="240"/>
      <c r="V40" s="240"/>
    </row>
    <row r="41" spans="4:24" ht="16.2" customHeight="1" x14ac:dyDescent="0.3">
      <c r="G41" s="240"/>
      <c r="H41" s="240"/>
      <c r="I41" s="240"/>
      <c r="J41" s="240"/>
      <c r="K41" s="240"/>
      <c r="L41" s="240"/>
      <c r="M41" s="240"/>
      <c r="N41" s="240"/>
      <c r="O41" s="240"/>
      <c r="P41" s="240"/>
      <c r="Q41" s="240"/>
      <c r="R41" s="240"/>
      <c r="S41" s="240"/>
      <c r="T41" s="240"/>
      <c r="U41" s="240"/>
      <c r="V41" s="240"/>
    </row>
    <row r="70" spans="7:23" ht="16.2" customHeight="1" x14ac:dyDescent="0.3">
      <c r="G70" s="111" t="s">
        <v>43</v>
      </c>
      <c r="H70" s="111" t="s">
        <v>43</v>
      </c>
      <c r="J70" s="111" t="s">
        <v>48</v>
      </c>
      <c r="K70" s="111" t="s">
        <v>48</v>
      </c>
      <c r="M70" s="111" t="s">
        <v>18</v>
      </c>
      <c r="N70" s="111" t="s">
        <v>18</v>
      </c>
      <c r="P70" s="111" t="s">
        <v>95</v>
      </c>
      <c r="S70" s="111" t="s">
        <v>71</v>
      </c>
      <c r="T70" s="111" t="s">
        <v>71</v>
      </c>
      <c r="V70" s="111" t="s">
        <v>54</v>
      </c>
      <c r="W70" s="111" t="s">
        <v>54</v>
      </c>
    </row>
  </sheetData>
  <sheetProtection algorithmName="SHA-512" hashValue="+XFRYroi2eNiaeNIA22sOVvRqlm0AroK1hZi1F0Ml/44Ir4R+WoGRT7JxcudR52HIM1LwSi5drYmkpc+EBh+MQ==" saltValue="5rK9unzDUd7Ysxbvlr0AYw==" spinCount="100000" sheet="1" objects="1" scenarios="1"/>
  <mergeCells count="1">
    <mergeCell ref="T6:X7"/>
  </mergeCells>
  <printOptions horizontalCentered="1" verticalCentered="1"/>
  <pageMargins left="0.70866141732283472" right="0.70866141732283472" top="0.74803149606299213" bottom="0.74803149606299213" header="0.31496062992125984" footer="0.31496062992125984"/>
  <pageSetup paperSize="9" scale="89"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Data" filterMode="1">
    <tabColor rgb="FFFFFF00"/>
  </sheetPr>
  <dimension ref="A1:U992"/>
  <sheetViews>
    <sheetView showGridLines="0" showRowColHeaders="0" topLeftCell="D1" zoomScale="68" zoomScaleNormal="68" workbookViewId="0">
      <pane ySplit="8" topLeftCell="A9" activePane="bottomLeft" state="frozen"/>
      <selection activeCell="M48" sqref="M48"/>
      <selection pane="bottomLeft" activeCell="G61" sqref="G61"/>
    </sheetView>
  </sheetViews>
  <sheetFormatPr defaultColWidth="0" defaultRowHeight="12.75" customHeight="1" x14ac:dyDescent="0.3"/>
  <cols>
    <col min="1" max="1" width="51.88671875" style="103" hidden="1" customWidth="1"/>
    <col min="2" max="2" width="8.5546875" style="103" hidden="1" customWidth="1"/>
    <col min="3" max="3" width="51.88671875" style="103" hidden="1" customWidth="1"/>
    <col min="4" max="4" width="8.5546875" style="103" customWidth="1"/>
    <col min="5" max="5" width="31.33203125" style="103" customWidth="1"/>
    <col min="6" max="7" width="30.44140625" style="103" customWidth="1"/>
    <col min="8" max="20" width="12.33203125" style="103" customWidth="1"/>
    <col min="21" max="21" width="15.44140625" style="103" customWidth="1"/>
    <col min="22" max="16384" width="18.6640625" style="530" hidden="1"/>
  </cols>
  <sheetData>
    <row r="1" spans="1:21" s="527" customFormat="1" ht="14.4" customHeight="1" x14ac:dyDescent="0.3">
      <c r="A1" s="176"/>
      <c r="B1" s="176"/>
      <c r="C1" s="176"/>
      <c r="D1" s="175" t="str">
        <f>REP.gts</f>
        <v>Global Tourism Solutions (UK) Ltd</v>
      </c>
      <c r="E1" s="176"/>
      <c r="F1" s="176"/>
      <c r="G1" s="176"/>
      <c r="H1" s="176"/>
      <c r="I1" s="176"/>
      <c r="J1" s="176"/>
      <c r="K1" s="176"/>
      <c r="L1" s="176"/>
      <c r="M1" s="176"/>
      <c r="N1" s="176"/>
      <c r="O1" s="176"/>
      <c r="P1" s="176"/>
      <c r="Q1" s="176"/>
      <c r="R1" s="176"/>
      <c r="S1" s="176"/>
      <c r="T1" s="176"/>
      <c r="U1" s="177"/>
    </row>
    <row r="2" spans="1:21" s="528" customFormat="1" ht="14.4" customHeight="1" x14ac:dyDescent="0.3">
      <c r="A2" s="178"/>
      <c r="B2" s="178"/>
      <c r="C2" s="178"/>
      <c r="D2" s="100" t="str">
        <f>REP.product&amp;" - "&amp;REP.authority&amp;IF(ISBLANK(REP.subzone)," - "," - "&amp;REP.subzone&amp;" - ")&amp;MIN(REP.yearsrange)&amp;" to "&amp;MAX(REP.yearsrange)</f>
        <v>STEAM - GWYNEDD COUNCIL - 2011 to 2022</v>
      </c>
      <c r="E2" s="178"/>
      <c r="F2" s="178"/>
      <c r="G2" s="178"/>
      <c r="H2" s="178"/>
      <c r="I2" s="178"/>
      <c r="J2" s="178"/>
      <c r="K2" s="178"/>
      <c r="L2" s="178"/>
      <c r="M2" s="178"/>
      <c r="N2" s="178"/>
      <c r="O2" s="178"/>
      <c r="P2" s="178"/>
      <c r="Q2" s="178"/>
      <c r="R2" s="178"/>
      <c r="S2" s="178"/>
      <c r="T2" s="178"/>
      <c r="U2" s="179"/>
    </row>
    <row r="3" spans="1:21" s="528" customFormat="1" ht="14.4" customHeight="1" x14ac:dyDescent="0.3">
      <c r="A3" s="178"/>
      <c r="B3" s="178"/>
      <c r="C3" s="178"/>
      <c r="D3" s="101" t="str">
        <f ca="1">MID(CELL("filename",A1),FIND("]",CELL("filename",A1))+1,255)</f>
        <v>DATA</v>
      </c>
      <c r="E3" s="178"/>
      <c r="F3" s="178"/>
      <c r="G3" s="178"/>
      <c r="H3" s="178"/>
      <c r="I3" s="178"/>
      <c r="J3" s="178"/>
      <c r="K3" s="178"/>
      <c r="L3" s="178"/>
      <c r="M3" s="178"/>
      <c r="N3" s="178"/>
      <c r="O3" s="178"/>
      <c r="P3" s="178"/>
      <c r="Q3" s="178"/>
      <c r="R3" s="178"/>
      <c r="S3" s="178"/>
      <c r="T3" s="178"/>
      <c r="U3" s="179"/>
    </row>
    <row r="4" spans="1:21" s="528" customFormat="1" ht="14.4" customHeight="1" x14ac:dyDescent="0.3">
      <c r="A4" s="178"/>
      <c r="B4" s="178"/>
      <c r="C4" s="178"/>
      <c r="D4" s="101"/>
      <c r="E4" s="178"/>
      <c r="F4" s="178"/>
      <c r="G4" s="178"/>
      <c r="H4" s="178"/>
      <c r="I4" s="178"/>
      <c r="J4" s="178"/>
      <c r="K4" s="178"/>
      <c r="L4" s="178"/>
      <c r="M4" s="178"/>
      <c r="N4" s="178"/>
      <c r="O4" s="178"/>
      <c r="P4" s="178"/>
      <c r="Q4" s="178"/>
      <c r="R4" s="178"/>
      <c r="S4" s="178"/>
      <c r="T4" s="178"/>
      <c r="U4" s="179"/>
    </row>
    <row r="5" spans="1:21" s="527" customFormat="1" ht="14.4" customHeight="1" x14ac:dyDescent="0.3">
      <c r="A5" s="176"/>
      <c r="B5" s="176"/>
      <c r="C5" s="176"/>
      <c r="D5" s="101" t="str">
        <f>REP.footer1</f>
        <v>This report is copyright © Global Tourism Solutions (UK) Ltd 2023</v>
      </c>
      <c r="E5" s="176"/>
      <c r="F5" s="176"/>
      <c r="G5" s="176"/>
      <c r="H5" s="176"/>
      <c r="I5" s="176"/>
      <c r="J5" s="176"/>
      <c r="K5" s="176"/>
      <c r="L5" s="176"/>
      <c r="M5" s="176"/>
      <c r="N5" s="176"/>
      <c r="O5" s="176"/>
      <c r="P5" s="176"/>
      <c r="Q5" s="176"/>
      <c r="R5" s="176"/>
      <c r="S5" s="176"/>
      <c r="T5" s="176"/>
      <c r="U5" s="177"/>
    </row>
    <row r="6" spans="1:21" s="527" customFormat="1" ht="14.4" customHeight="1" x14ac:dyDescent="0.3">
      <c r="A6" s="176"/>
      <c r="B6" s="176"/>
      <c r="C6" s="176"/>
      <c r="D6" s="102" t="str">
        <f>REP.footer2</f>
        <v>Report Prepared by: Cathy James. Date of Issue: 14/08/23</v>
      </c>
      <c r="E6" s="176"/>
      <c r="F6" s="176"/>
      <c r="G6" s="176"/>
      <c r="H6" s="176"/>
      <c r="I6" s="176"/>
      <c r="J6" s="176"/>
      <c r="K6" s="176"/>
      <c r="L6" s="176"/>
      <c r="M6" s="176"/>
      <c r="N6" s="176"/>
      <c r="O6" s="176"/>
      <c r="P6" s="176"/>
      <c r="Q6" s="176"/>
      <c r="R6" s="176"/>
      <c r="S6" s="176"/>
      <c r="T6" s="176"/>
      <c r="U6" s="177"/>
    </row>
    <row r="7" spans="1:21" s="527" customFormat="1" ht="4.95" hidden="1" customHeight="1" x14ac:dyDescent="0.3">
      <c r="A7" s="176">
        <v>-1</v>
      </c>
      <c r="B7" s="176">
        <v>0</v>
      </c>
      <c r="C7" s="176">
        <v>1</v>
      </c>
      <c r="D7" s="102">
        <v>2</v>
      </c>
      <c r="E7" s="176">
        <v>3</v>
      </c>
      <c r="F7" s="176">
        <v>4</v>
      </c>
      <c r="G7" s="176">
        <v>5</v>
      </c>
      <c r="H7" s="176">
        <v>6</v>
      </c>
      <c r="I7" s="176">
        <v>7</v>
      </c>
      <c r="J7" s="176">
        <v>8</v>
      </c>
      <c r="K7" s="176">
        <v>9</v>
      </c>
      <c r="L7" s="176">
        <v>10</v>
      </c>
      <c r="M7" s="176">
        <v>11</v>
      </c>
      <c r="N7" s="176">
        <v>12</v>
      </c>
      <c r="O7" s="176">
        <v>13</v>
      </c>
      <c r="P7" s="176">
        <v>14</v>
      </c>
      <c r="Q7" s="176">
        <v>15</v>
      </c>
      <c r="R7" s="176">
        <v>16</v>
      </c>
      <c r="S7" s="176">
        <v>17</v>
      </c>
      <c r="T7" s="176">
        <v>18</v>
      </c>
      <c r="U7" s="177">
        <v>19</v>
      </c>
    </row>
    <row r="8" spans="1:21" s="529" customFormat="1" ht="15.6" x14ac:dyDescent="0.3">
      <c r="A8" s="180" t="s">
        <v>136</v>
      </c>
      <c r="B8" s="180" t="s">
        <v>137</v>
      </c>
      <c r="C8" s="180" t="s">
        <v>39</v>
      </c>
      <c r="D8" s="180" t="s">
        <v>15</v>
      </c>
      <c r="E8" s="180" t="s">
        <v>24</v>
      </c>
      <c r="F8" s="180" t="s">
        <v>25</v>
      </c>
      <c r="G8" s="180" t="s">
        <v>25</v>
      </c>
      <c r="H8" s="180" t="s">
        <v>26</v>
      </c>
      <c r="I8" s="180" t="s">
        <v>27</v>
      </c>
      <c r="J8" s="180" t="s">
        <v>28</v>
      </c>
      <c r="K8" s="180" t="s">
        <v>29</v>
      </c>
      <c r="L8" s="180" t="s">
        <v>30</v>
      </c>
      <c r="M8" s="180" t="s">
        <v>31</v>
      </c>
      <c r="N8" s="180" t="s">
        <v>32</v>
      </c>
      <c r="O8" s="180" t="s">
        <v>33</v>
      </c>
      <c r="P8" s="180" t="s">
        <v>34</v>
      </c>
      <c r="Q8" s="180" t="s">
        <v>35</v>
      </c>
      <c r="R8" s="180" t="s">
        <v>36</v>
      </c>
      <c r="S8" s="180" t="s">
        <v>37</v>
      </c>
      <c r="T8" s="180" t="s">
        <v>38</v>
      </c>
      <c r="U8" s="180" t="s">
        <v>56</v>
      </c>
    </row>
    <row r="9" spans="1:21" ht="13.8" x14ac:dyDescent="0.3">
      <c r="A9" s="530" t="str">
        <f t="shared" ref="A9:A72" si="0">B9&amp;"."&amp;D9&amp;"."&amp;E9&amp;"."&amp;F9</f>
        <v>Gwynedd.2011.Economic Impact.Indirect Expenditure</v>
      </c>
      <c r="B9" s="530" t="s">
        <v>219</v>
      </c>
      <c r="C9" s="530" t="str">
        <f t="shared" ref="C9:C72" si="1">D9&amp;"."&amp;E9&amp;"."&amp;F9</f>
        <v>2011.Economic Impact.Indirect Expenditure</v>
      </c>
      <c r="D9" s="530" t="s">
        <v>220</v>
      </c>
      <c r="E9" s="662" t="s">
        <v>17</v>
      </c>
      <c r="F9" s="662" t="s">
        <v>45</v>
      </c>
      <c r="G9" s="662" t="s">
        <v>45</v>
      </c>
      <c r="H9" s="530">
        <v>4185.5983698674327</v>
      </c>
      <c r="I9" s="530">
        <v>5334.7761888254372</v>
      </c>
      <c r="J9" s="530">
        <v>7027.0705936086342</v>
      </c>
      <c r="K9" s="530">
        <v>26063.499523151979</v>
      </c>
      <c r="L9" s="530">
        <v>26264.799505731204</v>
      </c>
      <c r="M9" s="530">
        <v>29971.297423187003</v>
      </c>
      <c r="N9" s="530">
        <v>37715.036814180712</v>
      </c>
      <c r="O9" s="530">
        <v>40620.54312577864</v>
      </c>
      <c r="P9" s="530">
        <v>26919.708241028013</v>
      </c>
      <c r="Q9" s="530">
        <v>16447.421540859279</v>
      </c>
      <c r="R9" s="530">
        <v>5339.0126290898643</v>
      </c>
      <c r="S9" s="530">
        <v>4829.3950541829036</v>
      </c>
      <c r="T9" s="530">
        <v>230718.15900949112</v>
      </c>
      <c r="U9" s="530" t="s">
        <v>57</v>
      </c>
    </row>
    <row r="10" spans="1:21" ht="13.8" x14ac:dyDescent="0.3">
      <c r="A10" s="530" t="str">
        <f t="shared" si="0"/>
        <v>Gwynedd.2011.Economic Impact.Direct Revenue</v>
      </c>
      <c r="B10" s="530" t="s">
        <v>219</v>
      </c>
      <c r="C10" s="530" t="str">
        <f t="shared" si="1"/>
        <v>2011.Economic Impact.Direct Revenue</v>
      </c>
      <c r="D10" s="530" t="s">
        <v>220</v>
      </c>
      <c r="E10" s="662" t="s">
        <v>17</v>
      </c>
      <c r="F10" s="662" t="s">
        <v>46</v>
      </c>
      <c r="G10" s="662" t="s">
        <v>46</v>
      </c>
      <c r="H10" s="530">
        <v>10040.623389597866</v>
      </c>
      <c r="I10" s="530">
        <v>12651.066820049926</v>
      </c>
      <c r="J10" s="530">
        <v>17521.736735844475</v>
      </c>
      <c r="K10" s="530">
        <v>64494.206048082393</v>
      </c>
      <c r="L10" s="530">
        <v>64786.222254477027</v>
      </c>
      <c r="M10" s="530">
        <v>74156.813891308775</v>
      </c>
      <c r="N10" s="530">
        <v>93447.791306447514</v>
      </c>
      <c r="O10" s="530">
        <v>100796.1389896644</v>
      </c>
      <c r="P10" s="530">
        <v>67846.99691170099</v>
      </c>
      <c r="Q10" s="530">
        <v>41229.171704596432</v>
      </c>
      <c r="R10" s="530">
        <v>12749.394592016684</v>
      </c>
      <c r="S10" s="530">
        <v>11427.139175211052</v>
      </c>
      <c r="T10" s="530">
        <v>571147.3018189976</v>
      </c>
      <c r="U10" s="530" t="s">
        <v>57</v>
      </c>
    </row>
    <row r="11" spans="1:21" ht="13.8" x14ac:dyDescent="0.3">
      <c r="A11" s="530" t="str">
        <f t="shared" si="0"/>
        <v>Gwynedd.2011.Economic Impact.VAT</v>
      </c>
      <c r="B11" s="530" t="s">
        <v>219</v>
      </c>
      <c r="C11" s="530" t="str">
        <f t="shared" si="1"/>
        <v>2011.Economic Impact.VAT</v>
      </c>
      <c r="D11" s="530" t="s">
        <v>220</v>
      </c>
      <c r="E11" s="662" t="s">
        <v>17</v>
      </c>
      <c r="F11" s="662" t="s">
        <v>47</v>
      </c>
      <c r="G11" s="662" t="s">
        <v>47</v>
      </c>
      <c r="H11" s="530">
        <v>2008.1246779195728</v>
      </c>
      <c r="I11" s="530">
        <v>2530.2133640099855</v>
      </c>
      <c r="J11" s="530">
        <v>3504.3473471688958</v>
      </c>
      <c r="K11" s="530">
        <v>12898.841209616479</v>
      </c>
      <c r="L11" s="530">
        <v>12957.244450895407</v>
      </c>
      <c r="M11" s="530">
        <v>14831.362778261759</v>
      </c>
      <c r="N11" s="530">
        <v>18689.558261289501</v>
      </c>
      <c r="O11" s="530">
        <v>20159.227797932879</v>
      </c>
      <c r="P11" s="530">
        <v>13569.399382340198</v>
      </c>
      <c r="Q11" s="530">
        <v>8245.8343409192858</v>
      </c>
      <c r="R11" s="530">
        <v>2549.8789184033376</v>
      </c>
      <c r="S11" s="530">
        <v>2285.4278350422105</v>
      </c>
      <c r="T11" s="530">
        <v>114229.46036379952</v>
      </c>
      <c r="U11" s="530" t="s">
        <v>57</v>
      </c>
    </row>
    <row r="12" spans="1:21" ht="13.8" x14ac:dyDescent="0.3">
      <c r="A12" s="530" t="str">
        <f t="shared" si="0"/>
        <v>Gwynedd.2011.Economic Impact.Serviced Accommodation</v>
      </c>
      <c r="B12" s="530" t="s">
        <v>219</v>
      </c>
      <c r="C12" s="530" t="str">
        <f t="shared" si="1"/>
        <v>2011.Economic Impact.Serviced Accommodation</v>
      </c>
      <c r="D12" s="530" t="s">
        <v>220</v>
      </c>
      <c r="E12" s="662" t="s">
        <v>17</v>
      </c>
      <c r="F12" s="662" t="s">
        <v>43</v>
      </c>
      <c r="G12" s="662" t="s">
        <v>43</v>
      </c>
      <c r="H12" s="530">
        <v>2511.0429630585868</v>
      </c>
      <c r="I12" s="530">
        <v>3040.5715655849908</v>
      </c>
      <c r="J12" s="530">
        <v>4394.9588776923983</v>
      </c>
      <c r="K12" s="530">
        <v>8938.3684452127891</v>
      </c>
      <c r="L12" s="530">
        <v>9967.3810427955541</v>
      </c>
      <c r="M12" s="530">
        <v>11255.413280627386</v>
      </c>
      <c r="N12" s="530">
        <v>21397.24283602506</v>
      </c>
      <c r="O12" s="530">
        <v>24210.599537806112</v>
      </c>
      <c r="P12" s="530">
        <v>18097.230744272088</v>
      </c>
      <c r="Q12" s="530">
        <v>8515.9453657146441</v>
      </c>
      <c r="R12" s="530">
        <v>3110.2540361420961</v>
      </c>
      <c r="S12" s="530">
        <v>2338.4606231269854</v>
      </c>
      <c r="T12" s="530">
        <v>117777.46931805869</v>
      </c>
      <c r="U12" s="530" t="s">
        <v>57</v>
      </c>
    </row>
    <row r="13" spans="1:21" ht="13.8" x14ac:dyDescent="0.3">
      <c r="A13" s="530" t="str">
        <f t="shared" si="0"/>
        <v>Gwynedd.2011.Economic Impact.Non-Serviced Accommodation</v>
      </c>
      <c r="B13" s="530" t="s">
        <v>219</v>
      </c>
      <c r="C13" s="530" t="str">
        <f t="shared" si="1"/>
        <v>2011.Economic Impact.Non-Serviced Accommodation</v>
      </c>
      <c r="D13" s="530" t="s">
        <v>220</v>
      </c>
      <c r="E13" s="662" t="s">
        <v>17</v>
      </c>
      <c r="F13" s="662" t="s">
        <v>48</v>
      </c>
      <c r="G13" s="662" t="s">
        <v>48</v>
      </c>
      <c r="H13" s="530">
        <v>10893.964977949543</v>
      </c>
      <c r="I13" s="530">
        <v>13206.736367678108</v>
      </c>
      <c r="J13" s="530">
        <v>12198.409057787716</v>
      </c>
      <c r="K13" s="530">
        <v>73797.446208859779</v>
      </c>
      <c r="L13" s="530">
        <v>76181.932083012303</v>
      </c>
      <c r="M13" s="530">
        <v>83356.217013769623</v>
      </c>
      <c r="N13" s="530">
        <v>106445.75045946939</v>
      </c>
      <c r="O13" s="530">
        <v>109626.89201038351</v>
      </c>
      <c r="P13" s="530">
        <v>78269.557718131517</v>
      </c>
      <c r="Q13" s="530">
        <v>45854.259582473213</v>
      </c>
      <c r="R13" s="530">
        <v>13970.547514611957</v>
      </c>
      <c r="S13" s="530">
        <v>12504.315882845161</v>
      </c>
      <c r="T13" s="530">
        <v>636306.02887697192</v>
      </c>
      <c r="U13" s="530" t="s">
        <v>57</v>
      </c>
    </row>
    <row r="14" spans="1:21" ht="13.8" x14ac:dyDescent="0.3">
      <c r="A14" s="530" t="str">
        <f t="shared" si="0"/>
        <v>Gwynedd.2011.Economic Impact.SFR</v>
      </c>
      <c r="B14" s="530" t="s">
        <v>219</v>
      </c>
      <c r="C14" s="530" t="str">
        <f t="shared" si="1"/>
        <v>2011.Economic Impact.SFR</v>
      </c>
      <c r="D14" s="530" t="s">
        <v>220</v>
      </c>
      <c r="E14" s="662" t="s">
        <v>17</v>
      </c>
      <c r="F14" s="662" t="s">
        <v>18</v>
      </c>
      <c r="G14" s="662" t="s">
        <v>18</v>
      </c>
      <c r="H14" s="530">
        <v>1725.547334362926</v>
      </c>
      <c r="I14" s="530">
        <v>579.78390434594303</v>
      </c>
      <c r="J14" s="530">
        <v>659.54253668982949</v>
      </c>
      <c r="K14" s="530">
        <v>1573.6991689389888</v>
      </c>
      <c r="L14" s="530">
        <v>1012.3211028262499</v>
      </c>
      <c r="M14" s="530">
        <v>779.80935134529352</v>
      </c>
      <c r="N14" s="530">
        <v>1265.4013785328123</v>
      </c>
      <c r="O14" s="530">
        <v>1339.5462302155713</v>
      </c>
      <c r="P14" s="530">
        <v>689.97505638858036</v>
      </c>
      <c r="Q14" s="530">
        <v>689.29864183351026</v>
      </c>
      <c r="R14" s="530">
        <v>537.10536694270002</v>
      </c>
      <c r="S14" s="530">
        <v>1555.2933307057842</v>
      </c>
      <c r="T14" s="530">
        <v>12407.32340312819</v>
      </c>
      <c r="U14" s="530" t="s">
        <v>57</v>
      </c>
    </row>
    <row r="15" spans="1:21" ht="13.8" x14ac:dyDescent="0.3">
      <c r="A15" s="530" t="str">
        <f t="shared" si="0"/>
        <v>Gwynedd.2011.Economic Impact.Day Visitor</v>
      </c>
      <c r="B15" s="530" t="s">
        <v>219</v>
      </c>
      <c r="C15" s="530" t="str">
        <f t="shared" si="1"/>
        <v>2011.Economic Impact.Day Visitor</v>
      </c>
      <c r="D15" s="530" t="s">
        <v>220</v>
      </c>
      <c r="E15" s="662" t="s">
        <v>17</v>
      </c>
      <c r="F15" s="662" t="s">
        <v>71</v>
      </c>
      <c r="G15" s="662" t="s">
        <v>71</v>
      </c>
      <c r="H15" s="530">
        <v>1103.7911620138134</v>
      </c>
      <c r="I15" s="530">
        <v>3688.9645352763046</v>
      </c>
      <c r="J15" s="530">
        <v>10800.244204452059</v>
      </c>
      <c r="K15" s="530">
        <v>19147.032957839288</v>
      </c>
      <c r="L15" s="530">
        <v>16846.631982469524</v>
      </c>
      <c r="M15" s="530">
        <v>23568.034447015234</v>
      </c>
      <c r="N15" s="530">
        <v>20743.991707890462</v>
      </c>
      <c r="O15" s="530">
        <v>26398.87213497073</v>
      </c>
      <c r="P15" s="530">
        <v>11279.341016277011</v>
      </c>
      <c r="Q15" s="530">
        <v>10862.923996353633</v>
      </c>
      <c r="R15" s="530">
        <v>3020.3792218131321</v>
      </c>
      <c r="S15" s="530">
        <v>2143.8922277582342</v>
      </c>
      <c r="T15" s="530">
        <v>149604.09959412945</v>
      </c>
      <c r="U15" s="530" t="s">
        <v>57</v>
      </c>
    </row>
    <row r="16" spans="1:21" ht="13.8" x14ac:dyDescent="0.3">
      <c r="A16" s="530" t="str">
        <f t="shared" si="0"/>
        <v>Gwynedd.2011.Economic Impact.Accommodation</v>
      </c>
      <c r="B16" s="530" t="s">
        <v>219</v>
      </c>
      <c r="C16" s="530" t="str">
        <f t="shared" si="1"/>
        <v>2011.Economic Impact.Accommodation</v>
      </c>
      <c r="D16" s="530" t="s">
        <v>220</v>
      </c>
      <c r="E16" s="662" t="s">
        <v>17</v>
      </c>
      <c r="F16" s="662" t="s">
        <v>23</v>
      </c>
      <c r="G16" s="662" t="s">
        <v>23</v>
      </c>
      <c r="H16" s="530">
        <v>1997.93612060585</v>
      </c>
      <c r="I16" s="530">
        <v>2464.0346934020849</v>
      </c>
      <c r="J16" s="530">
        <v>2613.5681241271977</v>
      </c>
      <c r="K16" s="530">
        <v>7735.5483018914647</v>
      </c>
      <c r="L16" s="530">
        <v>8293.2946357202618</v>
      </c>
      <c r="M16" s="530">
        <v>9070.9957747546723</v>
      </c>
      <c r="N16" s="530">
        <v>20906.308130122376</v>
      </c>
      <c r="O16" s="530">
        <v>22500.607751320091</v>
      </c>
      <c r="P16" s="530">
        <v>16300.094204010196</v>
      </c>
      <c r="Q16" s="530">
        <v>5840.6769035418165</v>
      </c>
      <c r="R16" s="530">
        <v>2469.5340984272757</v>
      </c>
      <c r="S16" s="530">
        <v>2189.0545346998892</v>
      </c>
      <c r="T16" s="530">
        <v>102381.65327262317</v>
      </c>
      <c r="U16" s="530" t="s">
        <v>57</v>
      </c>
    </row>
    <row r="17" spans="1:21" ht="13.8" x14ac:dyDescent="0.3">
      <c r="A17" s="530" t="str">
        <f t="shared" si="0"/>
        <v>Gwynedd.2011.Economic Impact.Food &amp; Drink</v>
      </c>
      <c r="B17" s="530" t="s">
        <v>219</v>
      </c>
      <c r="C17" s="530" t="str">
        <f t="shared" si="1"/>
        <v>2011.Economic Impact.Food &amp; Drink</v>
      </c>
      <c r="D17" s="530" t="s">
        <v>220</v>
      </c>
      <c r="E17" s="662" t="s">
        <v>17</v>
      </c>
      <c r="F17" s="662" t="s">
        <v>49</v>
      </c>
      <c r="G17" s="662" t="s">
        <v>49</v>
      </c>
      <c r="H17" s="530">
        <v>2747.3154286191966</v>
      </c>
      <c r="I17" s="530">
        <v>3201.8297591540872</v>
      </c>
      <c r="J17" s="530">
        <v>4500.3173773045683</v>
      </c>
      <c r="K17" s="530">
        <v>16991.347548672577</v>
      </c>
      <c r="L17" s="530">
        <v>17251.222648516592</v>
      </c>
      <c r="M17" s="530">
        <v>19410.903660763393</v>
      </c>
      <c r="N17" s="530">
        <v>22299.759538632148</v>
      </c>
      <c r="O17" s="530">
        <v>23966.003353546854</v>
      </c>
      <c r="P17" s="530">
        <v>15945.890860717307</v>
      </c>
      <c r="Q17" s="530">
        <v>11188.386060488827</v>
      </c>
      <c r="R17" s="530">
        <v>3303.4442960737506</v>
      </c>
      <c r="S17" s="530">
        <v>2988.8021811679891</v>
      </c>
      <c r="T17" s="530">
        <v>143795.22271365728</v>
      </c>
      <c r="U17" s="530" t="s">
        <v>57</v>
      </c>
    </row>
    <row r="18" spans="1:21" ht="13.8" x14ac:dyDescent="0.3">
      <c r="A18" s="530" t="str">
        <f t="shared" si="0"/>
        <v>Gwynedd.2011.Economic Impact.Recreation</v>
      </c>
      <c r="B18" s="530" t="s">
        <v>219</v>
      </c>
      <c r="C18" s="530" t="str">
        <f t="shared" si="1"/>
        <v>2011.Economic Impact.Recreation</v>
      </c>
      <c r="D18" s="530" t="s">
        <v>220</v>
      </c>
      <c r="E18" s="662" t="s">
        <v>17</v>
      </c>
      <c r="F18" s="662" t="s">
        <v>50</v>
      </c>
      <c r="G18" s="662" t="s">
        <v>50</v>
      </c>
      <c r="H18" s="530">
        <v>719.88696163245652</v>
      </c>
      <c r="I18" s="530">
        <v>975.65005540362529</v>
      </c>
      <c r="J18" s="530">
        <v>1337.4832738600194</v>
      </c>
      <c r="K18" s="530">
        <v>7646.7977020600956</v>
      </c>
      <c r="L18" s="530">
        <v>7398.7148588039781</v>
      </c>
      <c r="M18" s="530">
        <v>8634.2190363481586</v>
      </c>
      <c r="N18" s="530">
        <v>9388.4767279077096</v>
      </c>
      <c r="O18" s="530">
        <v>9869.2699610007676</v>
      </c>
      <c r="P18" s="530">
        <v>7137.9734011159235</v>
      </c>
      <c r="Q18" s="530">
        <v>4297.893319532227</v>
      </c>
      <c r="R18" s="530">
        <v>1004.6422724089091</v>
      </c>
      <c r="S18" s="530">
        <v>903.15496271253937</v>
      </c>
      <c r="T18" s="530">
        <v>59314.162532786409</v>
      </c>
      <c r="U18" s="530" t="s">
        <v>57</v>
      </c>
    </row>
    <row r="19" spans="1:21" ht="13.8" x14ac:dyDescent="0.3">
      <c r="A19" s="530" t="str">
        <f t="shared" si="0"/>
        <v>Gwynedd.2011.Economic Impact.Shopping</v>
      </c>
      <c r="B19" s="530" t="s">
        <v>219</v>
      </c>
      <c r="C19" s="530" t="str">
        <f t="shared" si="1"/>
        <v>2011.Economic Impact.Shopping</v>
      </c>
      <c r="D19" s="530" t="s">
        <v>220</v>
      </c>
      <c r="E19" s="662" t="s">
        <v>17</v>
      </c>
      <c r="F19" s="662" t="s">
        <v>51</v>
      </c>
      <c r="G19" s="662" t="s">
        <v>51</v>
      </c>
      <c r="H19" s="530">
        <v>3450.5477740319629</v>
      </c>
      <c r="I19" s="530">
        <v>4559.5700029244099</v>
      </c>
      <c r="J19" s="530">
        <v>6976.9992306866761</v>
      </c>
      <c r="K19" s="530">
        <v>23149.899767991774</v>
      </c>
      <c r="L19" s="530">
        <v>22962.07476020289</v>
      </c>
      <c r="M19" s="530">
        <v>26788.86038858796</v>
      </c>
      <c r="N19" s="530">
        <v>29471.712755386579</v>
      </c>
      <c r="O19" s="530">
        <v>32284.239211788943</v>
      </c>
      <c r="P19" s="530">
        <v>20185.340611288048</v>
      </c>
      <c r="Q19" s="530">
        <v>14417.61559975504</v>
      </c>
      <c r="R19" s="530">
        <v>4489.6243454443465</v>
      </c>
      <c r="S19" s="530">
        <v>4037.8961155837028</v>
      </c>
      <c r="T19" s="530">
        <v>192774.38056367234</v>
      </c>
      <c r="U19" s="530" t="s">
        <v>57</v>
      </c>
    </row>
    <row r="20" spans="1:21" ht="13.8" x14ac:dyDescent="0.3">
      <c r="A20" s="530" t="str">
        <f t="shared" si="0"/>
        <v>Gwynedd.2011.Economic Impact.Transport</v>
      </c>
      <c r="B20" s="530" t="s">
        <v>219</v>
      </c>
      <c r="C20" s="530" t="str">
        <f t="shared" si="1"/>
        <v>2011.Economic Impact.Transport</v>
      </c>
      <c r="D20" s="530" t="s">
        <v>220</v>
      </c>
      <c r="E20" s="662" t="s">
        <v>17</v>
      </c>
      <c r="F20" s="662" t="s">
        <v>52</v>
      </c>
      <c r="G20" s="662" t="s">
        <v>52</v>
      </c>
      <c r="H20" s="530">
        <v>1124.937104708398</v>
      </c>
      <c r="I20" s="530">
        <v>1449.9823091657183</v>
      </c>
      <c r="J20" s="530">
        <v>2093.3687298660138</v>
      </c>
      <c r="K20" s="530">
        <v>8970.6127274664814</v>
      </c>
      <c r="L20" s="530">
        <v>8880.9153512333087</v>
      </c>
      <c r="M20" s="530">
        <v>10251.835030854598</v>
      </c>
      <c r="N20" s="530">
        <v>11381.534154398696</v>
      </c>
      <c r="O20" s="530">
        <v>12176.018712007746</v>
      </c>
      <c r="P20" s="530">
        <v>8277.6978345695134</v>
      </c>
      <c r="Q20" s="530">
        <v>5484.5998212785235</v>
      </c>
      <c r="R20" s="530">
        <v>1482.1495796624038</v>
      </c>
      <c r="S20" s="530">
        <v>1308.2313810469307</v>
      </c>
      <c r="T20" s="530">
        <v>72881.88273625834</v>
      </c>
      <c r="U20" s="530" t="s">
        <v>57</v>
      </c>
    </row>
    <row r="21" spans="1:21" ht="13.8" x14ac:dyDescent="0.3">
      <c r="A21" s="530" t="str">
        <f t="shared" si="0"/>
        <v>Gwynedd.2011.Economic Impact.Direct Expenditure</v>
      </c>
      <c r="B21" s="530" t="s">
        <v>219</v>
      </c>
      <c r="C21" s="530" t="str">
        <f t="shared" si="1"/>
        <v>2011.Economic Impact.Direct Expenditure</v>
      </c>
      <c r="D21" s="530" t="s">
        <v>220</v>
      </c>
      <c r="E21" s="662" t="s">
        <v>17</v>
      </c>
      <c r="F21" s="662" t="s">
        <v>44</v>
      </c>
      <c r="G21" s="662" t="s">
        <v>44</v>
      </c>
      <c r="H21" s="530">
        <v>12048.748067517436</v>
      </c>
      <c r="I21" s="530">
        <v>15181.28018405991</v>
      </c>
      <c r="J21" s="530">
        <v>21026.084083013367</v>
      </c>
      <c r="K21" s="530">
        <v>77393.047257698869</v>
      </c>
      <c r="L21" s="530">
        <v>77743.466705372441</v>
      </c>
      <c r="M21" s="530">
        <v>88988.17666957053</v>
      </c>
      <c r="N21" s="530">
        <v>112137.34956773702</v>
      </c>
      <c r="O21" s="530">
        <v>120955.36678759728</v>
      </c>
      <c r="P21" s="530">
        <v>81416.396294041188</v>
      </c>
      <c r="Q21" s="530">
        <v>49475.006045515722</v>
      </c>
      <c r="R21" s="530">
        <v>15299.27351042002</v>
      </c>
      <c r="S21" s="530">
        <v>13712.567010253262</v>
      </c>
      <c r="T21" s="530">
        <v>685376.76218279707</v>
      </c>
      <c r="U21" s="530" t="s">
        <v>57</v>
      </c>
    </row>
    <row r="22" spans="1:21" ht="13.8" x14ac:dyDescent="0.3">
      <c r="A22" s="530" t="str">
        <f t="shared" si="0"/>
        <v>Gwynedd.2011.Population.Total</v>
      </c>
      <c r="B22" s="530" t="s">
        <v>219</v>
      </c>
      <c r="C22" s="530" t="str">
        <f t="shared" si="1"/>
        <v>2011.Population.Total</v>
      </c>
      <c r="D22" s="530" t="s">
        <v>220</v>
      </c>
      <c r="E22" s="662" t="s">
        <v>19</v>
      </c>
      <c r="F22" s="662" t="s">
        <v>54</v>
      </c>
      <c r="G22" s="662" t="s">
        <v>54</v>
      </c>
      <c r="H22" s="530">
        <v>119000</v>
      </c>
      <c r="I22" s="530">
        <v>119000</v>
      </c>
      <c r="J22" s="530">
        <v>119000</v>
      </c>
      <c r="K22" s="530">
        <v>119000</v>
      </c>
      <c r="L22" s="530">
        <v>119000</v>
      </c>
      <c r="M22" s="530">
        <v>119000</v>
      </c>
      <c r="N22" s="530">
        <v>119000</v>
      </c>
      <c r="O22" s="530">
        <v>119000</v>
      </c>
      <c r="P22" s="530">
        <v>119000</v>
      </c>
      <c r="Q22" s="530">
        <v>119000</v>
      </c>
      <c r="R22" s="530">
        <v>119000</v>
      </c>
      <c r="S22" s="530">
        <v>119000</v>
      </c>
      <c r="T22" s="530">
        <v>119000</v>
      </c>
      <c r="U22" s="530" t="s">
        <v>60</v>
      </c>
    </row>
    <row r="23" spans="1:21" ht="13.8" x14ac:dyDescent="0.3">
      <c r="A23" s="530" t="str">
        <f t="shared" si="0"/>
        <v>Gwynedd.2011.Employment.Serviced Accommodation</v>
      </c>
      <c r="B23" s="530" t="s">
        <v>219</v>
      </c>
      <c r="C23" s="530" t="str">
        <f t="shared" si="1"/>
        <v>2011.Employment.Serviced Accommodation</v>
      </c>
      <c r="D23" s="530" t="s">
        <v>220</v>
      </c>
      <c r="E23" s="662" t="s">
        <v>20</v>
      </c>
      <c r="F23" s="662" t="s">
        <v>43</v>
      </c>
      <c r="G23" s="662" t="s">
        <v>43</v>
      </c>
      <c r="H23" s="530">
        <v>1635.1114066558684</v>
      </c>
      <c r="I23" s="530">
        <v>1713.9273881967692</v>
      </c>
      <c r="J23" s="530">
        <v>1823.1991657140049</v>
      </c>
      <c r="K23" s="530">
        <v>2980.3707603853572</v>
      </c>
      <c r="L23" s="530">
        <v>3060.235373573566</v>
      </c>
      <c r="M23" s="530">
        <v>3151.3810557147499</v>
      </c>
      <c r="N23" s="530">
        <v>3280.2762051834175</v>
      </c>
      <c r="O23" s="530">
        <v>3451.951026065426</v>
      </c>
      <c r="P23" s="530">
        <v>3123.5161279729373</v>
      </c>
      <c r="Q23" s="530">
        <v>2939.2972196323535</v>
      </c>
      <c r="R23" s="530">
        <v>1731.696033309066</v>
      </c>
      <c r="S23" s="530">
        <v>1648.374650344158</v>
      </c>
      <c r="T23" s="530">
        <v>2544.9447010623057</v>
      </c>
      <c r="U23" s="530" t="s">
        <v>59</v>
      </c>
    </row>
    <row r="24" spans="1:21" ht="13.8" x14ac:dyDescent="0.3">
      <c r="A24" s="530" t="str">
        <f t="shared" si="0"/>
        <v>Gwynedd.2011.Employment.Non-Serviced Accommodation</v>
      </c>
      <c r="B24" s="530" t="s">
        <v>219</v>
      </c>
      <c r="C24" s="530" t="str">
        <f t="shared" si="1"/>
        <v>2011.Employment.Non-Serviced Accommodation</v>
      </c>
      <c r="D24" s="530" t="s">
        <v>220</v>
      </c>
      <c r="E24" s="662" t="s">
        <v>20</v>
      </c>
      <c r="F24" s="662" t="s">
        <v>48</v>
      </c>
      <c r="G24" s="662" t="s">
        <v>48</v>
      </c>
      <c r="H24" s="530">
        <v>2116.4793252181926</v>
      </c>
      <c r="I24" s="530">
        <v>2388.3722409293628</v>
      </c>
      <c r="J24" s="530">
        <v>2391.188326977267</v>
      </c>
      <c r="K24" s="530">
        <v>11793.626518629098</v>
      </c>
      <c r="L24" s="530">
        <v>12098.201940322535</v>
      </c>
      <c r="M24" s="530">
        <v>13087.750790052836</v>
      </c>
      <c r="N24" s="530">
        <v>15050.578274878109</v>
      </c>
      <c r="O24" s="530">
        <v>15407.854665081073</v>
      </c>
      <c r="P24" s="530">
        <v>11752.011432687472</v>
      </c>
      <c r="Q24" s="530">
        <v>8154.3309088752922</v>
      </c>
      <c r="R24" s="530">
        <v>2521.7825912539129</v>
      </c>
      <c r="S24" s="530">
        <v>2310.0258282125856</v>
      </c>
      <c r="T24" s="530">
        <v>8256.0169035931449</v>
      </c>
      <c r="U24" s="530" t="s">
        <v>59</v>
      </c>
    </row>
    <row r="25" spans="1:21" ht="13.8" x14ac:dyDescent="0.3">
      <c r="A25" s="530" t="str">
        <f t="shared" si="0"/>
        <v>Gwynedd.2011.Employment.SFR</v>
      </c>
      <c r="B25" s="530" t="s">
        <v>219</v>
      </c>
      <c r="C25" s="530" t="str">
        <f t="shared" si="1"/>
        <v>2011.Employment.SFR</v>
      </c>
      <c r="D25" s="530" t="s">
        <v>220</v>
      </c>
      <c r="E25" s="662" t="s">
        <v>20</v>
      </c>
      <c r="F25" s="662" t="s">
        <v>18</v>
      </c>
      <c r="G25" s="662" t="s">
        <v>18</v>
      </c>
      <c r="H25" s="530">
        <v>256.61327354556607</v>
      </c>
      <c r="I25" s="530">
        <v>86.222059911310197</v>
      </c>
      <c r="J25" s="530">
        <v>98.083295666305276</v>
      </c>
      <c r="K25" s="530">
        <v>234.03130547355633</v>
      </c>
      <c r="L25" s="530">
        <v>150.54645381339881</v>
      </c>
      <c r="M25" s="530">
        <v>115.96867058071226</v>
      </c>
      <c r="N25" s="530">
        <v>188.18306726674848</v>
      </c>
      <c r="O25" s="530">
        <v>199.20945450514196</v>
      </c>
      <c r="P25" s="530">
        <v>102.60904140889868</v>
      </c>
      <c r="Q25" s="530">
        <v>102.50844900566882</v>
      </c>
      <c r="R25" s="530">
        <v>79.875158278949883</v>
      </c>
      <c r="S25" s="530">
        <v>231.29409722240359</v>
      </c>
      <c r="T25" s="530">
        <v>153.76202722322171</v>
      </c>
      <c r="U25" s="530" t="s">
        <v>59</v>
      </c>
    </row>
    <row r="26" spans="1:21" ht="13.8" x14ac:dyDescent="0.3">
      <c r="A26" s="530" t="str">
        <f t="shared" si="0"/>
        <v>Gwynedd.2011.Employment.Day Visitor</v>
      </c>
      <c r="B26" s="530" t="s">
        <v>219</v>
      </c>
      <c r="C26" s="530" t="str">
        <f t="shared" si="1"/>
        <v>2011.Employment.Day Visitor</v>
      </c>
      <c r="D26" s="530" t="s">
        <v>220</v>
      </c>
      <c r="E26" s="662" t="s">
        <v>20</v>
      </c>
      <c r="F26" s="662" t="s">
        <v>71</v>
      </c>
      <c r="G26" s="662" t="s">
        <v>71</v>
      </c>
      <c r="H26" s="530">
        <v>156.19519953527924</v>
      </c>
      <c r="I26" s="530">
        <v>522.017725359211</v>
      </c>
      <c r="J26" s="530">
        <v>1528.3201719665713</v>
      </c>
      <c r="K26" s="530">
        <v>2709.4569482708439</v>
      </c>
      <c r="L26" s="530">
        <v>2383.931974231838</v>
      </c>
      <c r="M26" s="530">
        <v>3335.0637057010704</v>
      </c>
      <c r="N26" s="530">
        <v>2935.4392710127363</v>
      </c>
      <c r="O26" s="530">
        <v>3735.649679514715</v>
      </c>
      <c r="P26" s="530">
        <v>1596.1161687955239</v>
      </c>
      <c r="Q26" s="530">
        <v>1537.1898594036711</v>
      </c>
      <c r="R26" s="530">
        <v>427.40760341167669</v>
      </c>
      <c r="S26" s="530">
        <v>303.37774555640175</v>
      </c>
      <c r="T26" s="530">
        <v>1764.1805043966281</v>
      </c>
      <c r="U26" s="530" t="s">
        <v>59</v>
      </c>
    </row>
    <row r="27" spans="1:21" ht="13.8" x14ac:dyDescent="0.3">
      <c r="A27" s="530" t="str">
        <f t="shared" si="0"/>
        <v>Gwynedd.2011.Employment.Direct Employment</v>
      </c>
      <c r="B27" s="530" t="s">
        <v>219</v>
      </c>
      <c r="C27" s="530" t="str">
        <f t="shared" si="1"/>
        <v>2011.Employment.Direct Employment</v>
      </c>
      <c r="D27" s="530" t="s">
        <v>220</v>
      </c>
      <c r="E27" s="662" t="s">
        <v>20</v>
      </c>
      <c r="F27" s="662" t="s">
        <v>55</v>
      </c>
      <c r="G27" s="662" t="s">
        <v>55</v>
      </c>
      <c r="H27" s="530">
        <v>4164.399204954907</v>
      </c>
      <c r="I27" s="530">
        <v>4710.5394143966523</v>
      </c>
      <c r="J27" s="530">
        <v>5840.7909603241487</v>
      </c>
      <c r="K27" s="530">
        <v>17717.485532758856</v>
      </c>
      <c r="L27" s="530">
        <v>17692.915741941339</v>
      </c>
      <c r="M27" s="530">
        <v>19690.16422204937</v>
      </c>
      <c r="N27" s="530">
        <v>21454.476818341012</v>
      </c>
      <c r="O27" s="530">
        <v>22794.664825166354</v>
      </c>
      <c r="P27" s="530">
        <v>16574.25277086483</v>
      </c>
      <c r="Q27" s="530">
        <v>12733.326436916985</v>
      </c>
      <c r="R27" s="530">
        <v>4760.7613862536055</v>
      </c>
      <c r="S27" s="530">
        <v>4493.0723213355486</v>
      </c>
      <c r="T27" s="530">
        <v>12718.9041362753</v>
      </c>
      <c r="U27" s="530" t="s">
        <v>59</v>
      </c>
    </row>
    <row r="28" spans="1:21" ht="13.8" x14ac:dyDescent="0.3">
      <c r="A28" s="530" t="str">
        <f t="shared" si="0"/>
        <v>Gwynedd.2011.Employment.Indirect Employment</v>
      </c>
      <c r="B28" s="530" t="s">
        <v>219</v>
      </c>
      <c r="C28" s="530" t="str">
        <f t="shared" si="1"/>
        <v>2011.Employment.Indirect Employment</v>
      </c>
      <c r="D28" s="530" t="s">
        <v>220</v>
      </c>
      <c r="E28" s="662" t="s">
        <v>20</v>
      </c>
      <c r="F28" s="662" t="s">
        <v>53</v>
      </c>
      <c r="G28" s="662" t="s">
        <v>53</v>
      </c>
      <c r="H28" s="530">
        <v>693.73077870962982</v>
      </c>
      <c r="I28" s="530">
        <v>884.19817495119025</v>
      </c>
      <c r="J28" s="530">
        <v>1164.6829734182202</v>
      </c>
      <c r="K28" s="530">
        <v>4319.8248427899098</v>
      </c>
      <c r="L28" s="530">
        <v>4353.1887686443961</v>
      </c>
      <c r="M28" s="530">
        <v>4967.5123275107653</v>
      </c>
      <c r="N28" s="530">
        <v>6250.977649103158</v>
      </c>
      <c r="O28" s="530">
        <v>6732.5430020049989</v>
      </c>
      <c r="P28" s="530">
        <v>4461.7348609288274</v>
      </c>
      <c r="Q28" s="530">
        <v>2726.0337818000507</v>
      </c>
      <c r="R28" s="530">
        <v>884.9003323833881</v>
      </c>
      <c r="S28" s="530">
        <v>800.43513389958889</v>
      </c>
      <c r="T28" s="530">
        <v>3186.6468855120106</v>
      </c>
      <c r="U28" s="530" t="s">
        <v>59</v>
      </c>
    </row>
    <row r="29" spans="1:21" ht="13.8" x14ac:dyDescent="0.3">
      <c r="A29" s="530" t="str">
        <f t="shared" si="0"/>
        <v>Gwynedd.2011.Employment.Total</v>
      </c>
      <c r="B29" s="530" t="s">
        <v>219</v>
      </c>
      <c r="C29" s="530" t="str">
        <f t="shared" si="1"/>
        <v>2011.Employment.Total</v>
      </c>
      <c r="D29" s="530" t="s">
        <v>220</v>
      </c>
      <c r="E29" s="662" t="s">
        <v>20</v>
      </c>
      <c r="F29" s="662" t="s">
        <v>54</v>
      </c>
      <c r="G29" s="662" t="s">
        <v>54</v>
      </c>
      <c r="H29" s="530">
        <v>4858.1299836645367</v>
      </c>
      <c r="I29" s="530">
        <v>5594.7375893478429</v>
      </c>
      <c r="J29" s="530">
        <v>7005.4739337423689</v>
      </c>
      <c r="K29" s="530">
        <v>22037.310375548765</v>
      </c>
      <c r="L29" s="530">
        <v>22046.104510585734</v>
      </c>
      <c r="M29" s="530">
        <v>24657.676549560136</v>
      </c>
      <c r="N29" s="530">
        <v>27705.454467444171</v>
      </c>
      <c r="O29" s="530">
        <v>29527.207827171354</v>
      </c>
      <c r="P29" s="530">
        <v>21035.987631793658</v>
      </c>
      <c r="Q29" s="530">
        <v>15459.360218717036</v>
      </c>
      <c r="R29" s="530">
        <v>5645.6617186369931</v>
      </c>
      <c r="S29" s="530">
        <v>5293.507455235138</v>
      </c>
      <c r="T29" s="530">
        <v>15905.551021787311</v>
      </c>
      <c r="U29" s="530" t="s">
        <v>59</v>
      </c>
    </row>
    <row r="30" spans="1:21" ht="13.8" x14ac:dyDescent="0.3">
      <c r="A30" s="530" t="str">
        <f t="shared" si="0"/>
        <v>Gwynedd.2011.Employment.Accommodation</v>
      </c>
      <c r="B30" s="530" t="s">
        <v>219</v>
      </c>
      <c r="C30" s="530" t="str">
        <f t="shared" si="1"/>
        <v>2011.Employment.Accommodation</v>
      </c>
      <c r="D30" s="530" t="s">
        <v>220</v>
      </c>
      <c r="E30" s="662" t="s">
        <v>20</v>
      </c>
      <c r="F30" s="662" t="s">
        <v>23</v>
      </c>
      <c r="G30" s="662" t="s">
        <v>23</v>
      </c>
      <c r="H30" s="530">
        <v>2299.6000000000004</v>
      </c>
      <c r="I30" s="530">
        <v>2352.9</v>
      </c>
      <c r="J30" s="530">
        <v>2398.3000000000002</v>
      </c>
      <c r="K30" s="530">
        <v>4535.8999999999996</v>
      </c>
      <c r="L30" s="530">
        <v>4576.1000000000004</v>
      </c>
      <c r="M30" s="530">
        <v>4582.6000000000004</v>
      </c>
      <c r="N30" s="530">
        <v>4614.0974520276959</v>
      </c>
      <c r="O30" s="530">
        <v>4628.3393135156566</v>
      </c>
      <c r="P30" s="530">
        <v>4592</v>
      </c>
      <c r="Q30" s="530">
        <v>4524.7000000000007</v>
      </c>
      <c r="R30" s="530">
        <v>2380.6999999999998</v>
      </c>
      <c r="S30" s="530">
        <v>2350.9</v>
      </c>
      <c r="T30" s="530">
        <v>3653.0113971286123</v>
      </c>
      <c r="U30" s="530" t="s">
        <v>59</v>
      </c>
    </row>
    <row r="31" spans="1:21" ht="13.8" x14ac:dyDescent="0.3">
      <c r="A31" s="530" t="str">
        <f t="shared" si="0"/>
        <v>Gwynedd.2011.Employment.Food &amp; Drink</v>
      </c>
      <c r="B31" s="530" t="s">
        <v>219</v>
      </c>
      <c r="C31" s="530" t="str">
        <f t="shared" si="1"/>
        <v>2011.Employment.Food &amp; Drink</v>
      </c>
      <c r="D31" s="530" t="s">
        <v>220</v>
      </c>
      <c r="E31" s="662" t="s">
        <v>20</v>
      </c>
      <c r="F31" s="662" t="s">
        <v>49</v>
      </c>
      <c r="G31" s="662" t="s">
        <v>49</v>
      </c>
      <c r="H31" s="530">
        <v>704.78730761093072</v>
      </c>
      <c r="I31" s="530">
        <v>821.38692626093462</v>
      </c>
      <c r="J31" s="530">
        <v>1154.4966896426979</v>
      </c>
      <c r="K31" s="530">
        <v>4358.9046844647628</v>
      </c>
      <c r="L31" s="530">
        <v>4425.5721919617963</v>
      </c>
      <c r="M31" s="530">
        <v>4979.6096898274454</v>
      </c>
      <c r="N31" s="530">
        <v>5720.7073210020499</v>
      </c>
      <c r="O31" s="530">
        <v>6148.160055370935</v>
      </c>
      <c r="P31" s="530">
        <v>4090.706647700501</v>
      </c>
      <c r="Q31" s="530">
        <v>2870.2319384006132</v>
      </c>
      <c r="R31" s="530">
        <v>847.45478696003738</v>
      </c>
      <c r="S31" s="530">
        <v>766.73752868114536</v>
      </c>
      <c r="T31" s="530">
        <v>3074.0629806569868</v>
      </c>
      <c r="U31" s="530" t="s">
        <v>59</v>
      </c>
    </row>
    <row r="32" spans="1:21" ht="13.8" x14ac:dyDescent="0.3">
      <c r="A32" s="530" t="str">
        <f t="shared" si="0"/>
        <v>Gwynedd.2011.Employment.Recreation</v>
      </c>
      <c r="B32" s="530" t="s">
        <v>219</v>
      </c>
      <c r="C32" s="530" t="str">
        <f t="shared" si="1"/>
        <v>2011.Employment.Recreation</v>
      </c>
      <c r="D32" s="530" t="s">
        <v>220</v>
      </c>
      <c r="E32" s="662" t="s">
        <v>20</v>
      </c>
      <c r="F32" s="662" t="s">
        <v>50</v>
      </c>
      <c r="G32" s="662" t="s">
        <v>50</v>
      </c>
      <c r="H32" s="530">
        <v>224.10825681205162</v>
      </c>
      <c r="I32" s="530">
        <v>303.72995321274067</v>
      </c>
      <c r="J32" s="530">
        <v>416.37237649135221</v>
      </c>
      <c r="K32" s="530">
        <v>2380.527214046193</v>
      </c>
      <c r="L32" s="530">
        <v>2303.2964590662305</v>
      </c>
      <c r="M32" s="530">
        <v>2687.9216881237894</v>
      </c>
      <c r="N32" s="530">
        <v>2922.7299086521607</v>
      </c>
      <c r="O32" s="530">
        <v>3072.4058148682925</v>
      </c>
      <c r="P32" s="530">
        <v>2222.1249464879302</v>
      </c>
      <c r="Q32" s="530">
        <v>1337.9786426751464</v>
      </c>
      <c r="R32" s="530">
        <v>312.75553022755008</v>
      </c>
      <c r="S32" s="530">
        <v>281.16148105485451</v>
      </c>
      <c r="T32" s="530">
        <v>1538.7593559765244</v>
      </c>
      <c r="U32" s="530" t="s">
        <v>59</v>
      </c>
    </row>
    <row r="33" spans="1:21" ht="13.8" x14ac:dyDescent="0.3">
      <c r="A33" s="530" t="str">
        <f t="shared" si="0"/>
        <v>Gwynedd.2011.Employment.Shopping</v>
      </c>
      <c r="B33" s="530" t="s">
        <v>219</v>
      </c>
      <c r="C33" s="530" t="str">
        <f t="shared" si="1"/>
        <v>2011.Employment.Shopping</v>
      </c>
      <c r="D33" s="530" t="s">
        <v>220</v>
      </c>
      <c r="E33" s="662" t="s">
        <v>20</v>
      </c>
      <c r="F33" s="662" t="s">
        <v>51</v>
      </c>
      <c r="G33" s="662" t="s">
        <v>51</v>
      </c>
      <c r="H33" s="530">
        <v>806.97597722302692</v>
      </c>
      <c r="I33" s="530">
        <v>1066.341838973374</v>
      </c>
      <c r="J33" s="530">
        <v>1631.7034688346655</v>
      </c>
      <c r="K33" s="530">
        <v>5414.0427002583037</v>
      </c>
      <c r="L33" s="530">
        <v>5370.1162633174672</v>
      </c>
      <c r="M33" s="530">
        <v>6265.082591658027</v>
      </c>
      <c r="N33" s="530">
        <v>6892.518451765719</v>
      </c>
      <c r="O33" s="530">
        <v>7550.2810547650797</v>
      </c>
      <c r="P33" s="530">
        <v>4720.7243696093037</v>
      </c>
      <c r="Q33" s="530">
        <v>3371.8325900015511</v>
      </c>
      <c r="R33" s="530">
        <v>1049.983721655808</v>
      </c>
      <c r="S33" s="530">
        <v>944.33851584981403</v>
      </c>
      <c r="T33" s="530">
        <v>3756.9951286593446</v>
      </c>
      <c r="U33" s="530" t="s">
        <v>59</v>
      </c>
    </row>
    <row r="34" spans="1:21" ht="13.8" x14ac:dyDescent="0.3">
      <c r="A34" s="530" t="str">
        <f t="shared" si="0"/>
        <v>Gwynedd.2011.Employment.Transport</v>
      </c>
      <c r="B34" s="530" t="s">
        <v>219</v>
      </c>
      <c r="C34" s="530" t="str">
        <f t="shared" si="1"/>
        <v>2011.Employment.Transport</v>
      </c>
      <c r="D34" s="530" t="s">
        <v>220</v>
      </c>
      <c r="E34" s="662" t="s">
        <v>20</v>
      </c>
      <c r="F34" s="662" t="s">
        <v>52</v>
      </c>
      <c r="G34" s="662" t="s">
        <v>52</v>
      </c>
      <c r="H34" s="530">
        <v>128.92766330889674</v>
      </c>
      <c r="I34" s="530">
        <v>166.1806959496042</v>
      </c>
      <c r="J34" s="530">
        <v>239.91842535543262</v>
      </c>
      <c r="K34" s="530">
        <v>1028.1109339895954</v>
      </c>
      <c r="L34" s="530">
        <v>1017.8308275958433</v>
      </c>
      <c r="M34" s="530">
        <v>1174.9502524401064</v>
      </c>
      <c r="N34" s="530">
        <v>1304.4236848933847</v>
      </c>
      <c r="O34" s="530">
        <v>1395.4785866463935</v>
      </c>
      <c r="P34" s="530">
        <v>948.6968070670971</v>
      </c>
      <c r="Q34" s="530">
        <v>628.5832658396746</v>
      </c>
      <c r="R34" s="530">
        <v>169.86734741021002</v>
      </c>
      <c r="S34" s="530">
        <v>149.9347957497348</v>
      </c>
      <c r="T34" s="530">
        <v>696.07527385383128</v>
      </c>
      <c r="U34" s="530" t="s">
        <v>59</v>
      </c>
    </row>
    <row r="35" spans="1:21" ht="13.8" x14ac:dyDescent="0.3">
      <c r="A35" s="530" t="str">
        <f t="shared" si="0"/>
        <v>Gwynedd.2011.Visitor Days.Serviced Accommodation</v>
      </c>
      <c r="B35" s="530" t="s">
        <v>219</v>
      </c>
      <c r="C35" s="530" t="str">
        <f t="shared" si="1"/>
        <v>2011.Visitor Days.Serviced Accommodation</v>
      </c>
      <c r="D35" s="530" t="s">
        <v>220</v>
      </c>
      <c r="E35" s="662" t="s">
        <v>171</v>
      </c>
      <c r="F35" s="662" t="s">
        <v>43</v>
      </c>
      <c r="G35" s="662" t="s">
        <v>43</v>
      </c>
      <c r="H35" s="530">
        <v>33.948651766479422</v>
      </c>
      <c r="I35" s="530">
        <v>41.383903040035449</v>
      </c>
      <c r="J35" s="530">
        <v>59.749880409451521</v>
      </c>
      <c r="K35" s="530">
        <v>123.6114199192243</v>
      </c>
      <c r="L35" s="530">
        <v>137.303436874781</v>
      </c>
      <c r="M35" s="530">
        <v>155.0941192620445</v>
      </c>
      <c r="N35" s="530">
        <v>176.57598713510555</v>
      </c>
      <c r="O35" s="530">
        <v>204.51144729886445</v>
      </c>
      <c r="P35" s="530">
        <v>149.1045622394152</v>
      </c>
      <c r="Q35" s="530">
        <v>117.2351787239833</v>
      </c>
      <c r="R35" s="530">
        <v>42.439729625756875</v>
      </c>
      <c r="S35" s="530">
        <v>31.513815715408519</v>
      </c>
      <c r="T35" s="530">
        <v>1272.4721320105502</v>
      </c>
      <c r="U35" s="530" t="s">
        <v>61</v>
      </c>
    </row>
    <row r="36" spans="1:21" ht="13.8" x14ac:dyDescent="0.3">
      <c r="A36" s="530" t="str">
        <f t="shared" si="0"/>
        <v>Gwynedd.2011.Visitor Days.Non-Serviced Accommodation</v>
      </c>
      <c r="B36" s="530" t="s">
        <v>219</v>
      </c>
      <c r="C36" s="530" t="str">
        <f t="shared" si="1"/>
        <v>2011.Visitor Days.Non-Serviced Accommodation</v>
      </c>
      <c r="D36" s="530" t="s">
        <v>220</v>
      </c>
      <c r="E36" s="662" t="s">
        <v>171</v>
      </c>
      <c r="F36" s="662" t="s">
        <v>48</v>
      </c>
      <c r="G36" s="662" t="s">
        <v>48</v>
      </c>
      <c r="H36" s="530">
        <v>307.85305589979362</v>
      </c>
      <c r="I36" s="530">
        <v>354.27019560267439</v>
      </c>
      <c r="J36" s="530">
        <v>366.84066937379623</v>
      </c>
      <c r="K36" s="530">
        <v>1916.2494987020355</v>
      </c>
      <c r="L36" s="530">
        <v>2027.0026543688055</v>
      </c>
      <c r="M36" s="530">
        <v>2178.5710690158644</v>
      </c>
      <c r="N36" s="530">
        <v>2650.1930256461128</v>
      </c>
      <c r="O36" s="530">
        <v>2739.6962259083903</v>
      </c>
      <c r="P36" s="530">
        <v>1936.9981412108518</v>
      </c>
      <c r="Q36" s="530">
        <v>1287.2096238132463</v>
      </c>
      <c r="R36" s="530">
        <v>382.7380233882887</v>
      </c>
      <c r="S36" s="530">
        <v>331.97401538252996</v>
      </c>
      <c r="T36" s="530">
        <v>16479.596198312393</v>
      </c>
      <c r="U36" s="530" t="s">
        <v>61</v>
      </c>
    </row>
    <row r="37" spans="1:21" ht="13.8" x14ac:dyDescent="0.3">
      <c r="A37" s="530" t="str">
        <f t="shared" si="0"/>
        <v>Gwynedd.2011.Visitor Days.SFR</v>
      </c>
      <c r="B37" s="530" t="s">
        <v>219</v>
      </c>
      <c r="C37" s="530" t="str">
        <f t="shared" si="1"/>
        <v>2011.Visitor Days.SFR</v>
      </c>
      <c r="D37" s="530" t="s">
        <v>220</v>
      </c>
      <c r="E37" s="662" t="s">
        <v>171</v>
      </c>
      <c r="F37" s="662" t="s">
        <v>18</v>
      </c>
      <c r="G37" s="662" t="s">
        <v>18</v>
      </c>
      <c r="H37" s="530">
        <v>60.85227272727272</v>
      </c>
      <c r="I37" s="530">
        <v>20.446363636363632</v>
      </c>
      <c r="J37" s="530">
        <v>23.259090909090908</v>
      </c>
      <c r="K37" s="530">
        <v>55.49727272727273</v>
      </c>
      <c r="L37" s="530">
        <v>35.700000000000003</v>
      </c>
      <c r="M37" s="530">
        <v>27.50035909090909</v>
      </c>
      <c r="N37" s="530">
        <v>44.625</v>
      </c>
      <c r="O37" s="530">
        <v>47.239754545454538</v>
      </c>
      <c r="P37" s="530">
        <v>24.332308636363635</v>
      </c>
      <c r="Q37" s="530">
        <v>24.308454545454545</v>
      </c>
      <c r="R37" s="530">
        <v>18.94128409090909</v>
      </c>
      <c r="S37" s="530">
        <v>54.848181818181814</v>
      </c>
      <c r="T37" s="530">
        <v>437.55034272727278</v>
      </c>
      <c r="U37" s="530" t="s">
        <v>61</v>
      </c>
    </row>
    <row r="38" spans="1:21" ht="13.8" x14ac:dyDescent="0.3">
      <c r="A38" s="530" t="str">
        <f t="shared" si="0"/>
        <v>Gwynedd.2011.Visitor Days.Day Visitor</v>
      </c>
      <c r="B38" s="530" t="s">
        <v>219</v>
      </c>
      <c r="C38" s="530" t="str">
        <f t="shared" si="1"/>
        <v>2011.Visitor Days.Day Visitor</v>
      </c>
      <c r="D38" s="530" t="s">
        <v>220</v>
      </c>
      <c r="E38" s="662" t="s">
        <v>171</v>
      </c>
      <c r="F38" s="662" t="s">
        <v>71</v>
      </c>
      <c r="G38" s="662" t="s">
        <v>71</v>
      </c>
      <c r="H38" s="530">
        <v>27.978946425546745</v>
      </c>
      <c r="I38" s="530">
        <v>93.508033630138826</v>
      </c>
      <c r="J38" s="530">
        <v>273.76506025639321</v>
      </c>
      <c r="K38" s="530">
        <v>485.33982493407484</v>
      </c>
      <c r="L38" s="530">
        <v>427.0291608681303</v>
      </c>
      <c r="M38" s="530">
        <v>597.4035631390816</v>
      </c>
      <c r="N38" s="530">
        <v>525.81960485002492</v>
      </c>
      <c r="O38" s="530">
        <v>669.15976008690086</v>
      </c>
      <c r="P38" s="530">
        <v>285.90922709882784</v>
      </c>
      <c r="Q38" s="530">
        <v>275.35387035012411</v>
      </c>
      <c r="R38" s="530">
        <v>76.560703999264888</v>
      </c>
      <c r="S38" s="530">
        <v>54.343473518265967</v>
      </c>
      <c r="T38" s="530">
        <v>3792.1712291567742</v>
      </c>
      <c r="U38" s="530" t="s">
        <v>61</v>
      </c>
    </row>
    <row r="39" spans="1:21" ht="13.8" x14ac:dyDescent="0.3">
      <c r="A39" s="530" t="str">
        <f t="shared" si="0"/>
        <v>Gwynedd.2011.Visitor Days.Total</v>
      </c>
      <c r="B39" s="530" t="s">
        <v>219</v>
      </c>
      <c r="C39" s="530" t="str">
        <f t="shared" si="1"/>
        <v>2011.Visitor Days.Total</v>
      </c>
      <c r="D39" s="530" t="s">
        <v>220</v>
      </c>
      <c r="E39" s="662" t="s">
        <v>171</v>
      </c>
      <c r="F39" s="662" t="s">
        <v>54</v>
      </c>
      <c r="G39" s="662" t="s">
        <v>54</v>
      </c>
      <c r="H39" s="530">
        <v>430.63292681909252</v>
      </c>
      <c r="I39" s="530">
        <v>509.60849590921231</v>
      </c>
      <c r="J39" s="530">
        <v>723.61470094873187</v>
      </c>
      <c r="K39" s="530">
        <v>2580.6980162826071</v>
      </c>
      <c r="L39" s="530">
        <v>2627.0352521117165</v>
      </c>
      <c r="M39" s="530">
        <v>2958.5691105078995</v>
      </c>
      <c r="N39" s="530">
        <v>3397.2136176312433</v>
      </c>
      <c r="O39" s="530">
        <v>3660.6071878396101</v>
      </c>
      <c r="P39" s="530">
        <v>2396.3442391854587</v>
      </c>
      <c r="Q39" s="530">
        <v>1704.1071274328083</v>
      </c>
      <c r="R39" s="530">
        <v>520.6797411042196</v>
      </c>
      <c r="S39" s="530">
        <v>472.67948643438621</v>
      </c>
      <c r="T39" s="530">
        <v>21981.789902206987</v>
      </c>
      <c r="U39" s="530" t="s">
        <v>61</v>
      </c>
    </row>
    <row r="40" spans="1:21" ht="13.8" x14ac:dyDescent="0.3">
      <c r="A40" s="530" t="str">
        <f t="shared" si="0"/>
        <v>Gwynedd.2011.Visitor Numbers.Serviced Accommodation</v>
      </c>
      <c r="B40" s="530" t="s">
        <v>219</v>
      </c>
      <c r="C40" s="530" t="str">
        <f t="shared" si="1"/>
        <v>2011.Visitor Numbers.Serviced Accommodation</v>
      </c>
      <c r="D40" s="530" t="s">
        <v>220</v>
      </c>
      <c r="E40" s="662" t="s">
        <v>172</v>
      </c>
      <c r="F40" s="662" t="s">
        <v>43</v>
      </c>
      <c r="G40" s="662" t="s">
        <v>43</v>
      </c>
      <c r="H40" s="530">
        <v>21.845065077334315</v>
      </c>
      <c r="I40" s="530">
        <v>27.095961656850911</v>
      </c>
      <c r="J40" s="530">
        <v>29.102679874031246</v>
      </c>
      <c r="K40" s="530">
        <v>68.322049014953677</v>
      </c>
      <c r="L40" s="530">
        <v>73.247454775840083</v>
      </c>
      <c r="M40" s="530">
        <v>88.187548428484064</v>
      </c>
      <c r="N40" s="530">
        <v>104.05838472609742</v>
      </c>
      <c r="O40" s="530">
        <v>118.40011182986581</v>
      </c>
      <c r="P40" s="530">
        <v>76.900647418916321</v>
      </c>
      <c r="Q40" s="530">
        <v>67.192577705102678</v>
      </c>
      <c r="R40" s="530">
        <v>24.604985786542809</v>
      </c>
      <c r="S40" s="530">
        <v>19.409819327810869</v>
      </c>
      <c r="T40" s="530">
        <v>718.36728562183009</v>
      </c>
      <c r="U40" s="530" t="s">
        <v>61</v>
      </c>
    </row>
    <row r="41" spans="1:21" ht="13.8" x14ac:dyDescent="0.3">
      <c r="A41" s="530" t="str">
        <f t="shared" si="0"/>
        <v>Gwynedd.2011.Visitor Numbers.Non-Serviced Accommodation</v>
      </c>
      <c r="B41" s="530" t="s">
        <v>219</v>
      </c>
      <c r="C41" s="530" t="str">
        <f t="shared" si="1"/>
        <v>2011.Visitor Numbers.Non-Serviced Accommodation</v>
      </c>
      <c r="D41" s="530" t="s">
        <v>220</v>
      </c>
      <c r="E41" s="662" t="s">
        <v>172</v>
      </c>
      <c r="F41" s="662" t="s">
        <v>48</v>
      </c>
      <c r="G41" s="662" t="s">
        <v>48</v>
      </c>
      <c r="H41" s="530">
        <v>90.545016441115791</v>
      </c>
      <c r="I41" s="530">
        <v>88.567548900668598</v>
      </c>
      <c r="J41" s="530">
        <v>76.42513945287422</v>
      </c>
      <c r="K41" s="530">
        <v>299.41398417219307</v>
      </c>
      <c r="L41" s="530">
        <v>293.76850063316022</v>
      </c>
      <c r="M41" s="530">
        <v>311.22443843083778</v>
      </c>
      <c r="N41" s="530">
        <v>373.26662333043839</v>
      </c>
      <c r="O41" s="530">
        <v>360.48634551426193</v>
      </c>
      <c r="P41" s="530">
        <v>280.72436829142782</v>
      </c>
      <c r="Q41" s="530">
        <v>183.88708911617806</v>
      </c>
      <c r="R41" s="530">
        <v>85.052894086286386</v>
      </c>
      <c r="S41" s="530">
        <v>59.281074175451778</v>
      </c>
      <c r="T41" s="530">
        <v>2502.6430225448944</v>
      </c>
      <c r="U41" s="530" t="s">
        <v>61</v>
      </c>
    </row>
    <row r="42" spans="1:21" ht="13.8" x14ac:dyDescent="0.3">
      <c r="A42" s="530" t="str">
        <f t="shared" si="0"/>
        <v>Gwynedd.2011.Visitor Numbers.SFR</v>
      </c>
      <c r="B42" s="530" t="s">
        <v>219</v>
      </c>
      <c r="C42" s="530" t="str">
        <f t="shared" si="1"/>
        <v>2011.Visitor Numbers.SFR</v>
      </c>
      <c r="D42" s="530" t="s">
        <v>220</v>
      </c>
      <c r="E42" s="662" t="s">
        <v>172</v>
      </c>
      <c r="F42" s="662" t="s">
        <v>18</v>
      </c>
      <c r="G42" s="662" t="s">
        <v>18</v>
      </c>
      <c r="H42" s="530">
        <v>24.340909090909086</v>
      </c>
      <c r="I42" s="530">
        <v>9.7363636363636346</v>
      </c>
      <c r="J42" s="530">
        <v>10.818181818181818</v>
      </c>
      <c r="K42" s="530">
        <v>20.554545454545455</v>
      </c>
      <c r="L42" s="530">
        <v>16.227272727272727</v>
      </c>
      <c r="M42" s="530">
        <v>13.09540909090909</v>
      </c>
      <c r="N42" s="530">
        <v>17.850000000000001</v>
      </c>
      <c r="O42" s="530">
        <v>18.169136363636362</v>
      </c>
      <c r="P42" s="530">
        <v>11.213045454545455</v>
      </c>
      <c r="Q42" s="530">
        <v>11.359090909090908</v>
      </c>
      <c r="R42" s="530">
        <v>9.3306818181818176</v>
      </c>
      <c r="S42" s="530">
        <v>21.095454545454544</v>
      </c>
      <c r="T42" s="530">
        <v>183.79009090909091</v>
      </c>
      <c r="U42" s="530" t="s">
        <v>61</v>
      </c>
    </row>
    <row r="43" spans="1:21" ht="13.8" x14ac:dyDescent="0.3">
      <c r="A43" s="530" t="str">
        <f t="shared" si="0"/>
        <v>Gwynedd.2011.Visitor Numbers.Day Visitor</v>
      </c>
      <c r="B43" s="530" t="s">
        <v>219</v>
      </c>
      <c r="C43" s="530" t="str">
        <f t="shared" si="1"/>
        <v>2011.Visitor Numbers.Day Visitor</v>
      </c>
      <c r="D43" s="530" t="s">
        <v>220</v>
      </c>
      <c r="E43" s="662" t="s">
        <v>172</v>
      </c>
      <c r="F43" s="662" t="s">
        <v>71</v>
      </c>
      <c r="G43" s="662" t="s">
        <v>71</v>
      </c>
      <c r="H43" s="530">
        <v>27.978946425546745</v>
      </c>
      <c r="I43" s="530">
        <v>93.508033630138826</v>
      </c>
      <c r="J43" s="530">
        <v>273.76506025639321</v>
      </c>
      <c r="K43" s="530">
        <v>485.33982493407484</v>
      </c>
      <c r="L43" s="530">
        <v>427.0291608681303</v>
      </c>
      <c r="M43" s="530">
        <v>597.4035631390816</v>
      </c>
      <c r="N43" s="530">
        <v>525.81960485002492</v>
      </c>
      <c r="O43" s="530">
        <v>669.15976008690086</v>
      </c>
      <c r="P43" s="530">
        <v>285.90922709882784</v>
      </c>
      <c r="Q43" s="530">
        <v>275.35387035012411</v>
      </c>
      <c r="R43" s="530">
        <v>76.560703999264888</v>
      </c>
      <c r="S43" s="530">
        <v>54.343473518265967</v>
      </c>
      <c r="T43" s="530">
        <v>3792.1712291567742</v>
      </c>
      <c r="U43" s="530" t="s">
        <v>61</v>
      </c>
    </row>
    <row r="44" spans="1:21" ht="13.8" x14ac:dyDescent="0.3">
      <c r="A44" s="530" t="str">
        <f t="shared" si="0"/>
        <v>Gwynedd.2011.Visitor Numbers.Total</v>
      </c>
      <c r="B44" s="530" t="s">
        <v>219</v>
      </c>
      <c r="C44" s="530" t="str">
        <f t="shared" si="1"/>
        <v>2011.Visitor Numbers.Total</v>
      </c>
      <c r="D44" s="530" t="s">
        <v>220</v>
      </c>
      <c r="E44" s="662" t="s">
        <v>172</v>
      </c>
      <c r="F44" s="662" t="s">
        <v>54</v>
      </c>
      <c r="G44" s="662" t="s">
        <v>54</v>
      </c>
      <c r="H44" s="530">
        <v>164.70993703490595</v>
      </c>
      <c r="I44" s="530">
        <v>218.90790782402198</v>
      </c>
      <c r="J44" s="530">
        <v>390.11106140148047</v>
      </c>
      <c r="K44" s="530">
        <v>873.6304035757671</v>
      </c>
      <c r="L44" s="530">
        <v>810.27238900440329</v>
      </c>
      <c r="M44" s="530">
        <v>1009.9109590893124</v>
      </c>
      <c r="N44" s="530">
        <v>1020.9946129065607</v>
      </c>
      <c r="O44" s="530">
        <v>1166.2153537946649</v>
      </c>
      <c r="P44" s="530">
        <v>654.74728826371745</v>
      </c>
      <c r="Q44" s="530">
        <v>537.79262808049577</v>
      </c>
      <c r="R44" s="530">
        <v>195.54926569027589</v>
      </c>
      <c r="S44" s="530">
        <v>154.12982156698314</v>
      </c>
      <c r="T44" s="530">
        <v>7196.9716282325899</v>
      </c>
      <c r="U44" s="530" t="s">
        <v>61</v>
      </c>
    </row>
    <row r="45" spans="1:21" ht="13.8" x14ac:dyDescent="0.3">
      <c r="A45" s="530" t="str">
        <f t="shared" si="0"/>
        <v>Gwynedd.2011.Vehicle Days.Serviced Accommodation</v>
      </c>
      <c r="B45" s="530" t="s">
        <v>219</v>
      </c>
      <c r="C45" s="530" t="str">
        <f t="shared" si="1"/>
        <v>2011.Vehicle Days.Serviced Accommodation</v>
      </c>
      <c r="D45" s="530" t="s">
        <v>220</v>
      </c>
      <c r="E45" s="662" t="s">
        <v>21</v>
      </c>
      <c r="F45" s="662" t="s">
        <v>43</v>
      </c>
      <c r="G45" s="662" t="s">
        <v>43</v>
      </c>
      <c r="H45" s="530">
        <v>8.7286762029875167</v>
      </c>
      <c r="I45" s="530">
        <v>14.125793119114606</v>
      </c>
      <c r="J45" s="530">
        <v>21.281342980092546</v>
      </c>
      <c r="K45" s="530">
        <v>31.955503267678999</v>
      </c>
      <c r="L45" s="530">
        <v>38.68817045229904</v>
      </c>
      <c r="M45" s="530">
        <v>42.783172121657408</v>
      </c>
      <c r="N45" s="530">
        <v>45.675205848140479</v>
      </c>
      <c r="O45" s="530">
        <v>52.858018958996837</v>
      </c>
      <c r="P45" s="530">
        <v>38.571043635469657</v>
      </c>
      <c r="Q45" s="530">
        <v>33.43358423264371</v>
      </c>
      <c r="R45" s="530">
        <v>12.904497798073562</v>
      </c>
      <c r="S45" s="530">
        <v>8.1722989664942851</v>
      </c>
      <c r="T45" s="530">
        <v>349.17730758364866</v>
      </c>
      <c r="U45" s="530" t="s">
        <v>61</v>
      </c>
    </row>
    <row r="46" spans="1:21" ht="13.8" x14ac:dyDescent="0.3">
      <c r="A46" s="530" t="str">
        <f t="shared" si="0"/>
        <v>Gwynedd.2011.Vehicle Days.Non-Serviced Accommodation</v>
      </c>
      <c r="B46" s="530" t="s">
        <v>219</v>
      </c>
      <c r="C46" s="530" t="str">
        <f t="shared" si="1"/>
        <v>2011.Vehicle Days.Non-Serviced Accommodation</v>
      </c>
      <c r="D46" s="530" t="s">
        <v>220</v>
      </c>
      <c r="E46" s="662" t="s">
        <v>21</v>
      </c>
      <c r="F46" s="662" t="s">
        <v>48</v>
      </c>
      <c r="G46" s="662" t="s">
        <v>48</v>
      </c>
      <c r="H46" s="530">
        <v>78.530336335072434</v>
      </c>
      <c r="I46" s="530">
        <v>102.15444333240016</v>
      </c>
      <c r="J46" s="530">
        <v>93.775000009405318</v>
      </c>
      <c r="K46" s="530">
        <v>539.11420274445345</v>
      </c>
      <c r="L46" s="530">
        <v>569.48774056034654</v>
      </c>
      <c r="M46" s="530">
        <v>620.44132092310792</v>
      </c>
      <c r="N46" s="530">
        <v>725.0058987095515</v>
      </c>
      <c r="O46" s="530">
        <v>741.32976999114146</v>
      </c>
      <c r="P46" s="530">
        <v>546.66708583419836</v>
      </c>
      <c r="Q46" s="530">
        <v>347.27178600251591</v>
      </c>
      <c r="R46" s="530">
        <v>99.89579295746509</v>
      </c>
      <c r="S46" s="530">
        <v>79.472664926086239</v>
      </c>
      <c r="T46" s="530">
        <v>4543.1460423257449</v>
      </c>
      <c r="U46" s="530" t="s">
        <v>61</v>
      </c>
    </row>
    <row r="47" spans="1:21" ht="13.8" x14ac:dyDescent="0.3">
      <c r="A47" s="530" t="str">
        <f t="shared" si="0"/>
        <v>Gwynedd.2011.Vehicle Days.SFR</v>
      </c>
      <c r="B47" s="530" t="s">
        <v>219</v>
      </c>
      <c r="C47" s="530" t="str">
        <f t="shared" si="1"/>
        <v>2011.Vehicle Days.SFR</v>
      </c>
      <c r="D47" s="530" t="s">
        <v>220</v>
      </c>
      <c r="E47" s="662" t="s">
        <v>21</v>
      </c>
      <c r="F47" s="662" t="s">
        <v>18</v>
      </c>
      <c r="G47" s="662" t="s">
        <v>18</v>
      </c>
      <c r="H47" s="530">
        <v>19.06704545454545</v>
      </c>
      <c r="I47" s="530">
        <v>6.4065272727272706</v>
      </c>
      <c r="J47" s="530">
        <v>7.2878484848484844</v>
      </c>
      <c r="K47" s="530">
        <v>17.389145454545453</v>
      </c>
      <c r="L47" s="530">
        <v>11.186</v>
      </c>
      <c r="M47" s="530">
        <v>8.6167791818181811</v>
      </c>
      <c r="N47" s="530">
        <v>13.9825</v>
      </c>
      <c r="O47" s="530">
        <v>14.801789757575754</v>
      </c>
      <c r="P47" s="530">
        <v>7.6241233727272721</v>
      </c>
      <c r="Q47" s="530">
        <v>7.6166490909090898</v>
      </c>
      <c r="R47" s="530">
        <v>5.9349356818181809</v>
      </c>
      <c r="S47" s="530">
        <v>17.185763636363635</v>
      </c>
      <c r="T47" s="530">
        <v>137.09910738787877</v>
      </c>
      <c r="U47" s="530" t="s">
        <v>61</v>
      </c>
    </row>
    <row r="48" spans="1:21" ht="13.8" x14ac:dyDescent="0.3">
      <c r="A48" s="530" t="str">
        <f t="shared" si="0"/>
        <v>Gwynedd.2011.Vehicle Days.Day Visitor</v>
      </c>
      <c r="B48" s="530" t="s">
        <v>219</v>
      </c>
      <c r="C48" s="530" t="str">
        <f t="shared" si="1"/>
        <v>2011.Vehicle Days.Day Visitor</v>
      </c>
      <c r="D48" s="530" t="s">
        <v>220</v>
      </c>
      <c r="E48" s="662" t="s">
        <v>21</v>
      </c>
      <c r="F48" s="662" t="s">
        <v>71</v>
      </c>
      <c r="G48" s="662" t="s">
        <v>71</v>
      </c>
      <c r="H48" s="530">
        <v>6.1553682136202843</v>
      </c>
      <c r="I48" s="530">
        <v>23.510591312720621</v>
      </c>
      <c r="J48" s="530">
        <v>68.83235800732173</v>
      </c>
      <c r="K48" s="530">
        <v>106.77476148549647</v>
      </c>
      <c r="L48" s="530">
        <v>93.946415390988662</v>
      </c>
      <c r="M48" s="530">
        <v>150.20432444639766</v>
      </c>
      <c r="N48" s="530">
        <v>115.68031306700549</v>
      </c>
      <c r="O48" s="530">
        <v>147.21514721911819</v>
      </c>
      <c r="P48" s="530">
        <v>62.900029961742128</v>
      </c>
      <c r="Q48" s="530">
        <v>69.23183025945977</v>
      </c>
      <c r="R48" s="530">
        <v>19.249548434100888</v>
      </c>
      <c r="S48" s="530">
        <v>11.955564174018512</v>
      </c>
      <c r="T48" s="530">
        <v>875.6562519719904</v>
      </c>
      <c r="U48" s="530" t="s">
        <v>61</v>
      </c>
    </row>
    <row r="49" spans="1:21" ht="13.8" x14ac:dyDescent="0.3">
      <c r="A49" s="530" t="str">
        <f t="shared" si="0"/>
        <v>Gwynedd.2011.Vehicle Days.Total</v>
      </c>
      <c r="B49" s="530" t="s">
        <v>219</v>
      </c>
      <c r="C49" s="530" t="str">
        <f t="shared" si="1"/>
        <v>2011.Vehicle Days.Total</v>
      </c>
      <c r="D49" s="530" t="s">
        <v>220</v>
      </c>
      <c r="E49" s="662" t="s">
        <v>21</v>
      </c>
      <c r="F49" s="662" t="s">
        <v>54</v>
      </c>
      <c r="G49" s="662" t="s">
        <v>54</v>
      </c>
      <c r="H49" s="530">
        <v>112.48142620622568</v>
      </c>
      <c r="I49" s="530">
        <v>146.19735503696268</v>
      </c>
      <c r="J49" s="530">
        <v>191.17654948166808</v>
      </c>
      <c r="K49" s="530">
        <v>695.23361295217433</v>
      </c>
      <c r="L49" s="530">
        <v>713.30832640363428</v>
      </c>
      <c r="M49" s="530">
        <v>822.04559667298122</v>
      </c>
      <c r="N49" s="530">
        <v>900.34391762469738</v>
      </c>
      <c r="O49" s="530">
        <v>956.20472592683223</v>
      </c>
      <c r="P49" s="530">
        <v>655.76228280413739</v>
      </c>
      <c r="Q49" s="530">
        <v>457.5538495855285</v>
      </c>
      <c r="R49" s="530">
        <v>137.98477487145772</v>
      </c>
      <c r="S49" s="530">
        <v>116.78629170296267</v>
      </c>
      <c r="T49" s="530">
        <v>5905.0787092692626</v>
      </c>
      <c r="U49" s="530" t="s">
        <v>61</v>
      </c>
    </row>
    <row r="50" spans="1:21" ht="13.8" x14ac:dyDescent="0.3">
      <c r="A50" s="530" t="str">
        <f t="shared" si="0"/>
        <v>Gwynedd.2011.Vehicle Numbers.Serviced Accommodation</v>
      </c>
      <c r="B50" s="530" t="s">
        <v>219</v>
      </c>
      <c r="C50" s="530" t="str">
        <f t="shared" si="1"/>
        <v>2011.Vehicle Numbers.Serviced Accommodation</v>
      </c>
      <c r="D50" s="530" t="s">
        <v>220</v>
      </c>
      <c r="E50" s="662" t="s">
        <v>22</v>
      </c>
      <c r="F50" s="662" t="s">
        <v>43</v>
      </c>
      <c r="G50" s="662" t="s">
        <v>43</v>
      </c>
      <c r="H50" s="530">
        <v>5.5954334885455497</v>
      </c>
      <c r="I50" s="530">
        <v>9.2397608620663334</v>
      </c>
      <c r="J50" s="530">
        <v>10.366870100072763</v>
      </c>
      <c r="K50" s="530">
        <v>17.661807237599447</v>
      </c>
      <c r="L50" s="530">
        <v>20.610638511488574</v>
      </c>
      <c r="M50" s="530">
        <v>24.318520616053753</v>
      </c>
      <c r="N50" s="530">
        <v>26.92487402490368</v>
      </c>
      <c r="O50" s="530">
        <v>30.61826205539252</v>
      </c>
      <c r="P50" s="530">
        <v>19.89609705552909</v>
      </c>
      <c r="Q50" s="530">
        <v>19.201237865132345</v>
      </c>
      <c r="R50" s="530">
        <v>7.3900610664874682</v>
      </c>
      <c r="S50" s="530">
        <v>5.0347235143908646</v>
      </c>
      <c r="T50" s="530">
        <v>196.8582863976624</v>
      </c>
      <c r="U50" s="530" t="s">
        <v>61</v>
      </c>
    </row>
    <row r="51" spans="1:21" ht="13.8" x14ac:dyDescent="0.3">
      <c r="A51" s="530" t="str">
        <f t="shared" si="0"/>
        <v>Gwynedd.2011.Vehicle Numbers.Non-Serviced Accommodation</v>
      </c>
      <c r="B51" s="530" t="s">
        <v>219</v>
      </c>
      <c r="C51" s="530" t="str">
        <f t="shared" si="1"/>
        <v>2011.Vehicle Numbers.Non-Serviced Accommodation</v>
      </c>
      <c r="D51" s="530" t="s">
        <v>220</v>
      </c>
      <c r="E51" s="662" t="s">
        <v>22</v>
      </c>
      <c r="F51" s="662" t="s">
        <v>48</v>
      </c>
      <c r="G51" s="662" t="s">
        <v>48</v>
      </c>
      <c r="H51" s="530">
        <v>23.09715774560954</v>
      </c>
      <c r="I51" s="530">
        <v>25.538610833100041</v>
      </c>
      <c r="J51" s="530">
        <v>19.536458335292778</v>
      </c>
      <c r="K51" s="530">
        <v>84.236594178820866</v>
      </c>
      <c r="L51" s="530">
        <v>82.534455153673406</v>
      </c>
      <c r="M51" s="530">
        <v>88.634474417586858</v>
      </c>
      <c r="N51" s="530">
        <v>102.11350686050022</v>
      </c>
      <c r="O51" s="530">
        <v>97.543390788308088</v>
      </c>
      <c r="P51" s="530">
        <v>79.227113889014262</v>
      </c>
      <c r="Q51" s="530">
        <v>49.610255143216555</v>
      </c>
      <c r="R51" s="530">
        <v>22.19906510165891</v>
      </c>
      <c r="S51" s="530">
        <v>14.191547308229687</v>
      </c>
      <c r="T51" s="530">
        <v>688.46262975501133</v>
      </c>
      <c r="U51" s="530" t="s">
        <v>61</v>
      </c>
    </row>
    <row r="52" spans="1:21" ht="13.8" x14ac:dyDescent="0.3">
      <c r="A52" s="530" t="str">
        <f t="shared" si="0"/>
        <v>Gwynedd.2011.Vehicle Numbers.SFR</v>
      </c>
      <c r="B52" s="530" t="s">
        <v>219</v>
      </c>
      <c r="C52" s="530" t="str">
        <f t="shared" si="1"/>
        <v>2011.Vehicle Numbers.SFR</v>
      </c>
      <c r="D52" s="530" t="s">
        <v>220</v>
      </c>
      <c r="E52" s="662" t="s">
        <v>22</v>
      </c>
      <c r="F52" s="662" t="s">
        <v>18</v>
      </c>
      <c r="G52" s="662" t="s">
        <v>18</v>
      </c>
      <c r="H52" s="530">
        <v>7.6268181818181793</v>
      </c>
      <c r="I52" s="530">
        <v>3.0507272727272721</v>
      </c>
      <c r="J52" s="530">
        <v>3.3896969696969692</v>
      </c>
      <c r="K52" s="530">
        <v>6.4404242424242417</v>
      </c>
      <c r="L52" s="530">
        <v>5.084545454545454</v>
      </c>
      <c r="M52" s="530">
        <v>4.1032281818181815</v>
      </c>
      <c r="N52" s="530">
        <v>5.593</v>
      </c>
      <c r="O52" s="530">
        <v>5.6929960606060597</v>
      </c>
      <c r="P52" s="530">
        <v>3.5134209090909088</v>
      </c>
      <c r="Q52" s="530">
        <v>3.5591818181818176</v>
      </c>
      <c r="R52" s="530">
        <v>2.923613636363636</v>
      </c>
      <c r="S52" s="530">
        <v>6.6099090909090901</v>
      </c>
      <c r="T52" s="530">
        <v>57.587561818181818</v>
      </c>
      <c r="U52" s="530" t="s">
        <v>61</v>
      </c>
    </row>
    <row r="53" spans="1:21" ht="13.8" x14ac:dyDescent="0.3">
      <c r="A53" s="530" t="str">
        <f t="shared" si="0"/>
        <v>Gwynedd.2011.Vehicle Numbers.Day Visitor</v>
      </c>
      <c r="B53" s="530" t="s">
        <v>219</v>
      </c>
      <c r="C53" s="530" t="str">
        <f t="shared" si="1"/>
        <v>2011.Vehicle Numbers.Day Visitor</v>
      </c>
      <c r="D53" s="530" t="s">
        <v>220</v>
      </c>
      <c r="E53" s="662" t="s">
        <v>22</v>
      </c>
      <c r="F53" s="662" t="s">
        <v>71</v>
      </c>
      <c r="G53" s="662" t="s">
        <v>71</v>
      </c>
      <c r="H53" s="530">
        <v>6.1553682136202843</v>
      </c>
      <c r="I53" s="530">
        <v>23.510591312720621</v>
      </c>
      <c r="J53" s="530">
        <v>68.83235800732173</v>
      </c>
      <c r="K53" s="530">
        <v>106.77476148549647</v>
      </c>
      <c r="L53" s="530">
        <v>93.946415390988662</v>
      </c>
      <c r="M53" s="530">
        <v>150.20432444639766</v>
      </c>
      <c r="N53" s="530">
        <v>115.68031306700549</v>
      </c>
      <c r="O53" s="530">
        <v>147.21514721911819</v>
      </c>
      <c r="P53" s="530">
        <v>62.900029961742128</v>
      </c>
      <c r="Q53" s="530">
        <v>69.23183025945977</v>
      </c>
      <c r="R53" s="530">
        <v>19.249548434100888</v>
      </c>
      <c r="S53" s="530">
        <v>11.955564174018512</v>
      </c>
      <c r="T53" s="530">
        <v>875.6562519719904</v>
      </c>
      <c r="U53" s="530" t="s">
        <v>61</v>
      </c>
    </row>
    <row r="54" spans="1:21" ht="13.8" x14ac:dyDescent="0.3">
      <c r="A54" s="530" t="str">
        <f t="shared" si="0"/>
        <v>Gwynedd.2011.Vehicle Numbers.Total</v>
      </c>
      <c r="B54" s="530" t="s">
        <v>219</v>
      </c>
      <c r="C54" s="530" t="str">
        <f t="shared" si="1"/>
        <v>2011.Vehicle Numbers.Total</v>
      </c>
      <c r="D54" s="530" t="s">
        <v>220</v>
      </c>
      <c r="E54" s="662" t="s">
        <v>22</v>
      </c>
      <c r="F54" s="662" t="s">
        <v>54</v>
      </c>
      <c r="G54" s="662" t="s">
        <v>54</v>
      </c>
      <c r="H54" s="530">
        <v>42.474777629593554</v>
      </c>
      <c r="I54" s="530">
        <v>61.339690280614263</v>
      </c>
      <c r="J54" s="530">
        <v>102.12538341238424</v>
      </c>
      <c r="K54" s="530">
        <v>215.11358714434101</v>
      </c>
      <c r="L54" s="530">
        <v>202.17605451069608</v>
      </c>
      <c r="M54" s="530">
        <v>267.26054766185644</v>
      </c>
      <c r="N54" s="530">
        <v>250.31169395240937</v>
      </c>
      <c r="O54" s="530">
        <v>281.06979612342485</v>
      </c>
      <c r="P54" s="530">
        <v>165.53666181537639</v>
      </c>
      <c r="Q54" s="530">
        <v>141.60250508599049</v>
      </c>
      <c r="R54" s="530">
        <v>51.7622882386109</v>
      </c>
      <c r="S54" s="530">
        <v>37.791744087548153</v>
      </c>
      <c r="T54" s="530">
        <v>1818.5647299428456</v>
      </c>
      <c r="U54" s="530" t="s">
        <v>61</v>
      </c>
    </row>
    <row r="55" spans="1:21" ht="13.8" x14ac:dyDescent="0.3">
      <c r="A55" s="530" t="str">
        <f t="shared" si="0"/>
        <v>Gwynedd.2011.Accommodation.Serviced Accommodation</v>
      </c>
      <c r="B55" s="530" t="s">
        <v>219</v>
      </c>
      <c r="C55" s="530" t="str">
        <f t="shared" si="1"/>
        <v>2011.Accommodation.Serviced Accommodation</v>
      </c>
      <c r="D55" s="530" t="s">
        <v>220</v>
      </c>
      <c r="E55" s="662" t="s">
        <v>23</v>
      </c>
      <c r="F55" s="662" t="s">
        <v>43</v>
      </c>
      <c r="G55" s="662" t="s">
        <v>43</v>
      </c>
      <c r="H55" s="530">
        <v>6724</v>
      </c>
      <c r="I55" s="530">
        <v>6847</v>
      </c>
      <c r="J55" s="530">
        <v>6908</v>
      </c>
      <c r="K55" s="530">
        <v>9504</v>
      </c>
      <c r="L55" s="530">
        <v>9561</v>
      </c>
      <c r="M55" s="530">
        <v>9561</v>
      </c>
      <c r="N55" s="530">
        <v>9578</v>
      </c>
      <c r="O55" s="530">
        <v>9578</v>
      </c>
      <c r="P55" s="530">
        <v>9574</v>
      </c>
      <c r="Q55" s="530">
        <v>9491</v>
      </c>
      <c r="R55" s="530">
        <v>6890</v>
      </c>
      <c r="S55" s="530">
        <v>6814</v>
      </c>
      <c r="T55" s="530">
        <v>9578</v>
      </c>
      <c r="U55" s="530" t="s">
        <v>58</v>
      </c>
    </row>
    <row r="56" spans="1:21" ht="13.8" x14ac:dyDescent="0.3">
      <c r="A56" s="530" t="str">
        <f t="shared" si="0"/>
        <v>Gwynedd.2011.Accommodation.Non-Serviced Accommodation</v>
      </c>
      <c r="B56" s="530" t="s">
        <v>219</v>
      </c>
      <c r="C56" s="530" t="str">
        <f t="shared" si="1"/>
        <v>2011.Accommodation.Non-Serviced Accommodation</v>
      </c>
      <c r="D56" s="530" t="s">
        <v>220</v>
      </c>
      <c r="E56" s="662" t="s">
        <v>23</v>
      </c>
      <c r="F56" s="662" t="s">
        <v>48</v>
      </c>
      <c r="G56" s="662" t="s">
        <v>48</v>
      </c>
      <c r="H56" s="530">
        <v>31217</v>
      </c>
      <c r="I56" s="530">
        <v>31441</v>
      </c>
      <c r="J56" s="530">
        <v>34474</v>
      </c>
      <c r="K56" s="530">
        <v>103301</v>
      </c>
      <c r="L56" s="530">
        <v>103404</v>
      </c>
      <c r="M56" s="530">
        <v>103484</v>
      </c>
      <c r="N56" s="530">
        <v>103521</v>
      </c>
      <c r="O56" s="530">
        <v>103521</v>
      </c>
      <c r="P56" s="530">
        <v>103436</v>
      </c>
      <c r="Q56" s="530">
        <v>101971</v>
      </c>
      <c r="R56" s="530">
        <v>33618</v>
      </c>
      <c r="S56" s="530">
        <v>33560</v>
      </c>
      <c r="T56" s="530">
        <v>103521</v>
      </c>
      <c r="U56" s="530" t="s">
        <v>58</v>
      </c>
    </row>
    <row r="57" spans="1:21" ht="13.8" x14ac:dyDescent="0.3">
      <c r="A57" s="530" t="str">
        <f t="shared" si="0"/>
        <v>Gwynedd.2011.Accommodation.Total</v>
      </c>
      <c r="B57" s="530" t="s">
        <v>219</v>
      </c>
      <c r="C57" s="530" t="str">
        <f t="shared" si="1"/>
        <v>2011.Accommodation.Total</v>
      </c>
      <c r="D57" s="530" t="s">
        <v>220</v>
      </c>
      <c r="E57" s="662" t="s">
        <v>23</v>
      </c>
      <c r="F57" s="662" t="s">
        <v>54</v>
      </c>
      <c r="G57" s="662" t="s">
        <v>54</v>
      </c>
      <c r="H57" s="530">
        <v>37941</v>
      </c>
      <c r="I57" s="530">
        <v>38288</v>
      </c>
      <c r="J57" s="530">
        <v>41382</v>
      </c>
      <c r="K57" s="530">
        <v>112805</v>
      </c>
      <c r="L57" s="530">
        <v>112965</v>
      </c>
      <c r="M57" s="530">
        <v>113045</v>
      </c>
      <c r="N57" s="530">
        <v>113099</v>
      </c>
      <c r="O57" s="530">
        <v>113099</v>
      </c>
      <c r="P57" s="530">
        <v>113010</v>
      </c>
      <c r="Q57" s="530">
        <v>111462</v>
      </c>
      <c r="R57" s="530">
        <v>40508</v>
      </c>
      <c r="S57" s="530">
        <v>40374</v>
      </c>
      <c r="T57" s="530">
        <v>113099</v>
      </c>
      <c r="U57" s="530" t="s">
        <v>58</v>
      </c>
    </row>
    <row r="58" spans="1:21" ht="13.8" x14ac:dyDescent="0.3">
      <c r="A58" s="530" t="str">
        <f t="shared" si="0"/>
        <v>Gwynedd.2011.Economic Impact.Total</v>
      </c>
      <c r="B58" s="530" t="s">
        <v>219</v>
      </c>
      <c r="C58" s="530" t="str">
        <f t="shared" si="1"/>
        <v>2011.Economic Impact.Total</v>
      </c>
      <c r="D58" s="530" t="s">
        <v>220</v>
      </c>
      <c r="E58" s="662" t="s">
        <v>17</v>
      </c>
      <c r="F58" s="662" t="s">
        <v>54</v>
      </c>
      <c r="G58" s="662" t="s">
        <v>54</v>
      </c>
      <c r="H58" s="530">
        <v>16234.346437384869</v>
      </c>
      <c r="I58" s="530">
        <v>20516.056372885345</v>
      </c>
      <c r="J58" s="530">
        <v>28053.154676622002</v>
      </c>
      <c r="K58" s="530">
        <v>103456.54678085085</v>
      </c>
      <c r="L58" s="530">
        <v>104008.26621110365</v>
      </c>
      <c r="M58" s="530">
        <v>118959.47409275753</v>
      </c>
      <c r="N58" s="530">
        <v>149852.38638191775</v>
      </c>
      <c r="O58" s="530">
        <v>161575.90991337592</v>
      </c>
      <c r="P58" s="530">
        <v>108336.1045350692</v>
      </c>
      <c r="Q58" s="530">
        <v>65922.427586375008</v>
      </c>
      <c r="R58" s="530">
        <v>20638.286139509884</v>
      </c>
      <c r="S58" s="530">
        <v>18541.962064436164</v>
      </c>
      <c r="T58" s="530">
        <v>916094.92119228828</v>
      </c>
      <c r="U58" s="530" t="s">
        <v>57</v>
      </c>
    </row>
    <row r="59" spans="1:21" ht="13.8" x14ac:dyDescent="0.3">
      <c r="A59" s="530" t="str">
        <f t="shared" si="0"/>
        <v>Gwynedd.2012.Economic Impact.Indirect Expenditure</v>
      </c>
      <c r="B59" s="530" t="s">
        <v>219</v>
      </c>
      <c r="C59" s="530" t="str">
        <f t="shared" si="1"/>
        <v>2012.Economic Impact.Indirect Expenditure</v>
      </c>
      <c r="D59" s="530" t="s">
        <v>231</v>
      </c>
      <c r="E59" s="530" t="s">
        <v>17</v>
      </c>
      <c r="F59" s="530" t="s">
        <v>45</v>
      </c>
      <c r="G59" s="530" t="s">
        <v>45</v>
      </c>
      <c r="H59" s="530">
        <v>3930.7377534103862</v>
      </c>
      <c r="I59" s="530">
        <v>4479.0592899103431</v>
      </c>
      <c r="J59" s="530">
        <v>8017.9181923668802</v>
      </c>
      <c r="K59" s="530">
        <v>20926.327378864815</v>
      </c>
      <c r="L59" s="530">
        <v>20913.700284577772</v>
      </c>
      <c r="M59" s="530">
        <v>29101.187433876243</v>
      </c>
      <c r="N59" s="530">
        <v>33672.393017910217</v>
      </c>
      <c r="O59" s="530">
        <v>39177.670469270161</v>
      </c>
      <c r="P59" s="530">
        <v>26090.61474323873</v>
      </c>
      <c r="Q59" s="530">
        <v>19006.392523932263</v>
      </c>
      <c r="R59" s="530">
        <v>4888.612076240026</v>
      </c>
      <c r="S59" s="530">
        <v>4463.6831333990249</v>
      </c>
      <c r="T59" s="530">
        <v>214668.29629699688</v>
      </c>
      <c r="U59" s="530" t="s">
        <v>57</v>
      </c>
    </row>
    <row r="60" spans="1:21" ht="13.8" x14ac:dyDescent="0.3">
      <c r="A60" s="530" t="str">
        <f t="shared" si="0"/>
        <v>Gwynedd.2012.Economic Impact.Direct Revenue</v>
      </c>
      <c r="B60" s="530" t="s">
        <v>219</v>
      </c>
      <c r="C60" s="530" t="str">
        <f t="shared" si="1"/>
        <v>2012.Economic Impact.Direct Revenue</v>
      </c>
      <c r="D60" s="530" t="s">
        <v>231</v>
      </c>
      <c r="E60" s="530" t="s">
        <v>17</v>
      </c>
      <c r="F60" s="530" t="s">
        <v>46</v>
      </c>
      <c r="G60" s="530" t="s">
        <v>46</v>
      </c>
      <c r="H60" s="530">
        <v>9655.9767994062531</v>
      </c>
      <c r="I60" s="530">
        <v>11273.481433213386</v>
      </c>
      <c r="J60" s="530">
        <v>19458.596819930513</v>
      </c>
      <c r="K60" s="530">
        <v>51731.463099530229</v>
      </c>
      <c r="L60" s="530">
        <v>52019.64589998452</v>
      </c>
      <c r="M60" s="530">
        <v>71100.458863673819</v>
      </c>
      <c r="N60" s="530">
        <v>83294.518953352061</v>
      </c>
      <c r="O60" s="530">
        <v>98015.190925597068</v>
      </c>
      <c r="P60" s="530">
        <v>65180.978206161897</v>
      </c>
      <c r="Q60" s="530">
        <v>46897.356846150236</v>
      </c>
      <c r="R60" s="530">
        <v>12081.592205532368</v>
      </c>
      <c r="S60" s="530">
        <v>10940.423519349903</v>
      </c>
      <c r="T60" s="530">
        <v>531649.6835718822</v>
      </c>
      <c r="U60" s="530" t="s">
        <v>57</v>
      </c>
    </row>
    <row r="61" spans="1:21" ht="13.8" x14ac:dyDescent="0.3">
      <c r="A61" s="530" t="str">
        <f t="shared" si="0"/>
        <v>Gwynedd.2012.Economic Impact.VAT</v>
      </c>
      <c r="B61" s="530" t="s">
        <v>219</v>
      </c>
      <c r="C61" s="530" t="str">
        <f t="shared" si="1"/>
        <v>2012.Economic Impact.VAT</v>
      </c>
      <c r="D61" s="530" t="s">
        <v>231</v>
      </c>
      <c r="E61" s="530" t="s">
        <v>17</v>
      </c>
      <c r="F61" s="530" t="s">
        <v>47</v>
      </c>
      <c r="G61" s="530" t="s">
        <v>47</v>
      </c>
      <c r="H61" s="530">
        <v>1931.1953598812506</v>
      </c>
      <c r="I61" s="530">
        <v>2254.696286642677</v>
      </c>
      <c r="J61" s="530">
        <v>3891.719363986103</v>
      </c>
      <c r="K61" s="530">
        <v>10346.292619906046</v>
      </c>
      <c r="L61" s="530">
        <v>10403.929179996907</v>
      </c>
      <c r="M61" s="530">
        <v>14220.091772734766</v>
      </c>
      <c r="N61" s="530">
        <v>16658.903790670414</v>
      </c>
      <c r="O61" s="530">
        <v>19603.038185119418</v>
      </c>
      <c r="P61" s="530">
        <v>13036.195641232382</v>
      </c>
      <c r="Q61" s="530">
        <v>9379.4713692300465</v>
      </c>
      <c r="R61" s="530">
        <v>2416.318441106474</v>
      </c>
      <c r="S61" s="530">
        <v>2188.0847038699808</v>
      </c>
      <c r="T61" s="530">
        <v>106329.93671437647</v>
      </c>
      <c r="U61" s="530" t="s">
        <v>57</v>
      </c>
    </row>
    <row r="62" spans="1:21" ht="13.8" x14ac:dyDescent="0.3">
      <c r="A62" s="530" t="str">
        <f t="shared" si="0"/>
        <v>Gwynedd.2012.Economic Impact.Serviced Accommodation</v>
      </c>
      <c r="B62" s="530" t="s">
        <v>219</v>
      </c>
      <c r="C62" s="530" t="str">
        <f t="shared" si="1"/>
        <v>2012.Economic Impact.Serviced Accommodation</v>
      </c>
      <c r="D62" s="530" t="s">
        <v>231</v>
      </c>
      <c r="E62" s="530" t="s">
        <v>17</v>
      </c>
      <c r="F62" s="530" t="s">
        <v>43</v>
      </c>
      <c r="G62" s="530" t="s">
        <v>43</v>
      </c>
      <c r="H62" s="530">
        <v>2759.8905516268533</v>
      </c>
      <c r="I62" s="530">
        <v>3964.0309191262313</v>
      </c>
      <c r="J62" s="530">
        <v>4823.2891235027255</v>
      </c>
      <c r="K62" s="530">
        <v>8695.5986032290984</v>
      </c>
      <c r="L62" s="530">
        <v>9992.4023120633301</v>
      </c>
      <c r="M62" s="530">
        <v>11470.43703542388</v>
      </c>
      <c r="N62" s="530">
        <v>18668.862117763521</v>
      </c>
      <c r="O62" s="530">
        <v>26716.17864560512</v>
      </c>
      <c r="P62" s="530">
        <v>19948.411661968741</v>
      </c>
      <c r="Q62" s="530">
        <v>9250.8585409093794</v>
      </c>
      <c r="R62" s="530">
        <v>3539.0037294244817</v>
      </c>
      <c r="S62" s="530">
        <v>2809.7263903700191</v>
      </c>
      <c r="T62" s="530">
        <v>122638.68963101337</v>
      </c>
      <c r="U62" s="530" t="s">
        <v>57</v>
      </c>
    </row>
    <row r="63" spans="1:21" ht="13.8" x14ac:dyDescent="0.3">
      <c r="A63" s="530" t="str">
        <f t="shared" si="0"/>
        <v>Gwynedd.2012.Economic Impact.Non-Serviced Accommodation</v>
      </c>
      <c r="B63" s="530" t="s">
        <v>219</v>
      </c>
      <c r="C63" s="530" t="str">
        <f t="shared" si="1"/>
        <v>2012.Economic Impact.Non-Serviced Accommodation</v>
      </c>
      <c r="D63" s="530" t="s">
        <v>231</v>
      </c>
      <c r="E63" s="530" t="s">
        <v>17</v>
      </c>
      <c r="F63" s="530" t="s">
        <v>48</v>
      </c>
      <c r="G63" s="530" t="s">
        <v>48</v>
      </c>
      <c r="H63" s="530">
        <v>9766.4063145565742</v>
      </c>
      <c r="I63" s="530">
        <v>9757.0556289129308</v>
      </c>
      <c r="J63" s="530">
        <v>15338.821651853601</v>
      </c>
      <c r="K63" s="530">
        <v>54754.408401958215</v>
      </c>
      <c r="L63" s="530">
        <v>56621.81289879846</v>
      </c>
      <c r="M63" s="530">
        <v>80203.301765620912</v>
      </c>
      <c r="N63" s="530">
        <v>95045.473550627052</v>
      </c>
      <c r="O63" s="530">
        <v>104338.90405992547</v>
      </c>
      <c r="P63" s="530">
        <v>73005.584425363428</v>
      </c>
      <c r="Q63" s="530">
        <v>55022.936529986182</v>
      </c>
      <c r="R63" s="530">
        <v>12218.713391067098</v>
      </c>
      <c r="S63" s="530">
        <v>11002.204138670459</v>
      </c>
      <c r="T63" s="530">
        <v>577075.62275734043</v>
      </c>
      <c r="U63" s="530" t="s">
        <v>57</v>
      </c>
    </row>
    <row r="64" spans="1:21" ht="13.8" x14ac:dyDescent="0.3">
      <c r="A64" s="530" t="str">
        <f t="shared" si="0"/>
        <v>Gwynedd.2012.Economic Impact.SFR</v>
      </c>
      <c r="B64" s="530" t="s">
        <v>219</v>
      </c>
      <c r="C64" s="530" t="str">
        <f t="shared" si="1"/>
        <v>2012.Economic Impact.SFR</v>
      </c>
      <c r="D64" s="530" t="s">
        <v>231</v>
      </c>
      <c r="E64" s="530" t="s">
        <v>17</v>
      </c>
      <c r="F64" s="530" t="s">
        <v>18</v>
      </c>
      <c r="G64" s="530" t="s">
        <v>18</v>
      </c>
      <c r="H64" s="530">
        <v>1837.0506515764032</v>
      </c>
      <c r="I64" s="530">
        <v>617.24901892967148</v>
      </c>
      <c r="J64" s="530">
        <v>702.16158238031414</v>
      </c>
      <c r="K64" s="530">
        <v>1675.3901942376801</v>
      </c>
      <c r="L64" s="530">
        <v>1077.7363822581565</v>
      </c>
      <c r="M64" s="530">
        <v>830.19993046040815</v>
      </c>
      <c r="N64" s="530">
        <v>1347.1704778226958</v>
      </c>
      <c r="O64" s="530">
        <v>1426.1065031535431</v>
      </c>
      <c r="P64" s="530">
        <v>734.56062413847189</v>
      </c>
      <c r="Q64" s="530">
        <v>733.84050028305387</v>
      </c>
      <c r="R64" s="530">
        <v>571.81263281401493</v>
      </c>
      <c r="S64" s="530">
        <v>1655.7949872875315</v>
      </c>
      <c r="T64" s="530">
        <v>13209.073485341945</v>
      </c>
      <c r="U64" s="530" t="s">
        <v>57</v>
      </c>
    </row>
    <row r="65" spans="1:21" ht="13.8" x14ac:dyDescent="0.3">
      <c r="A65" s="530" t="str">
        <f t="shared" si="0"/>
        <v>Gwynedd.2012.Economic Impact.Day Visitor</v>
      </c>
      <c r="B65" s="530" t="s">
        <v>219</v>
      </c>
      <c r="C65" s="530" t="str">
        <f t="shared" si="1"/>
        <v>2012.Economic Impact.Day Visitor</v>
      </c>
      <c r="D65" s="530" t="s">
        <v>231</v>
      </c>
      <c r="E65" s="530" t="s">
        <v>17</v>
      </c>
      <c r="F65" s="530" t="s">
        <v>71</v>
      </c>
      <c r="G65" s="530" t="s">
        <v>71</v>
      </c>
      <c r="H65" s="530">
        <v>1154.5623949380599</v>
      </c>
      <c r="I65" s="530">
        <v>3668.9014427975744</v>
      </c>
      <c r="J65" s="530">
        <v>10503.962018546856</v>
      </c>
      <c r="K65" s="530">
        <v>17878.685898876094</v>
      </c>
      <c r="L65" s="530">
        <v>15645.323771439247</v>
      </c>
      <c r="M65" s="530">
        <v>21917.799338779616</v>
      </c>
      <c r="N65" s="530">
        <v>18564.309615719423</v>
      </c>
      <c r="O65" s="530">
        <v>24314.710371302517</v>
      </c>
      <c r="P65" s="530">
        <v>10619.231879162369</v>
      </c>
      <c r="Q65" s="530">
        <v>10275.585168133921</v>
      </c>
      <c r="R65" s="530">
        <v>3056.9929695732731</v>
      </c>
      <c r="S65" s="530">
        <v>2124.4658402908981</v>
      </c>
      <c r="T65" s="530">
        <v>139724.53070955985</v>
      </c>
      <c r="U65" s="530" t="s">
        <v>57</v>
      </c>
    </row>
    <row r="66" spans="1:21" ht="13.8" x14ac:dyDescent="0.3">
      <c r="A66" s="530" t="str">
        <f t="shared" si="0"/>
        <v>Gwynedd.2012.Economic Impact.Accommodation</v>
      </c>
      <c r="B66" s="530" t="s">
        <v>219</v>
      </c>
      <c r="C66" s="530" t="str">
        <f t="shared" si="1"/>
        <v>2012.Economic Impact.Accommodation</v>
      </c>
      <c r="D66" s="530" t="s">
        <v>231</v>
      </c>
      <c r="E66" s="530" t="s">
        <v>17</v>
      </c>
      <c r="F66" s="530" t="s">
        <v>23</v>
      </c>
      <c r="G66" s="530" t="s">
        <v>23</v>
      </c>
      <c r="H66" s="530">
        <v>1925.8822860553862</v>
      </c>
      <c r="I66" s="530">
        <v>2329.5287359615395</v>
      </c>
      <c r="J66" s="530">
        <v>3199.3147696534193</v>
      </c>
      <c r="K66" s="530">
        <v>6632.5325143359369</v>
      </c>
      <c r="L66" s="530">
        <v>6894.110380557092</v>
      </c>
      <c r="M66" s="530">
        <v>9464.5246235702361</v>
      </c>
      <c r="N66" s="530">
        <v>18405.374920628146</v>
      </c>
      <c r="O66" s="530">
        <v>22671.277776241164</v>
      </c>
      <c r="P66" s="530">
        <v>18096.511357323521</v>
      </c>
      <c r="Q66" s="530">
        <v>7127.909706430898</v>
      </c>
      <c r="R66" s="530">
        <v>2371.374450628562</v>
      </c>
      <c r="S66" s="530">
        <v>2151.7582629937551</v>
      </c>
      <c r="T66" s="530">
        <v>101270.09978437965</v>
      </c>
      <c r="U66" s="530" t="s">
        <v>57</v>
      </c>
    </row>
    <row r="67" spans="1:21" ht="13.8" x14ac:dyDescent="0.3">
      <c r="A67" s="530" t="str">
        <f t="shared" si="0"/>
        <v>Gwynedd.2012.Economic Impact.Food &amp; Drink</v>
      </c>
      <c r="B67" s="530" t="s">
        <v>219</v>
      </c>
      <c r="C67" s="530" t="str">
        <f t="shared" si="1"/>
        <v>2012.Economic Impact.Food &amp; Drink</v>
      </c>
      <c r="D67" s="530" t="s">
        <v>231</v>
      </c>
      <c r="E67" s="530" t="s">
        <v>17</v>
      </c>
      <c r="F67" s="530" t="s">
        <v>49</v>
      </c>
      <c r="G67" s="530" t="s">
        <v>49</v>
      </c>
      <c r="H67" s="530">
        <v>2682.0535677532962</v>
      </c>
      <c r="I67" s="530">
        <v>2897.2749462317502</v>
      </c>
      <c r="J67" s="530">
        <v>4890.789253148615</v>
      </c>
      <c r="K67" s="530">
        <v>13800.351744144376</v>
      </c>
      <c r="L67" s="530">
        <v>14088.672287752795</v>
      </c>
      <c r="M67" s="530">
        <v>18559.321462789118</v>
      </c>
      <c r="N67" s="530">
        <v>20271.334238225234</v>
      </c>
      <c r="O67" s="530">
        <v>23312.576841177892</v>
      </c>
      <c r="P67" s="530">
        <v>14906.205804474701</v>
      </c>
      <c r="Q67" s="530">
        <v>12589.591859321376</v>
      </c>
      <c r="R67" s="530">
        <v>3188.563533168372</v>
      </c>
      <c r="S67" s="530">
        <v>2911.9942809989698</v>
      </c>
      <c r="T67" s="530">
        <v>134098.72981918647</v>
      </c>
      <c r="U67" s="530" t="s">
        <v>57</v>
      </c>
    </row>
    <row r="68" spans="1:21" ht="13.8" x14ac:dyDescent="0.3">
      <c r="A68" s="530" t="str">
        <f t="shared" si="0"/>
        <v>Gwynedd.2012.Economic Impact.Recreation</v>
      </c>
      <c r="B68" s="530" t="s">
        <v>219</v>
      </c>
      <c r="C68" s="530" t="str">
        <f t="shared" si="1"/>
        <v>2012.Economic Impact.Recreation</v>
      </c>
      <c r="D68" s="530" t="s">
        <v>231</v>
      </c>
      <c r="E68" s="530" t="s">
        <v>17</v>
      </c>
      <c r="F68" s="530" t="s">
        <v>50</v>
      </c>
      <c r="G68" s="530" t="s">
        <v>50</v>
      </c>
      <c r="H68" s="530">
        <v>682.72998344343353</v>
      </c>
      <c r="I68" s="530">
        <v>860.53336389530432</v>
      </c>
      <c r="J68" s="530">
        <v>1442.8709531670602</v>
      </c>
      <c r="K68" s="530">
        <v>5407.6607736811466</v>
      </c>
      <c r="L68" s="530">
        <v>5342.7534058131423</v>
      </c>
      <c r="M68" s="530">
        <v>7762.1498380784615</v>
      </c>
      <c r="N68" s="530">
        <v>8041.7934062978629</v>
      </c>
      <c r="O68" s="530">
        <v>9411.356243898912</v>
      </c>
      <c r="P68" s="530">
        <v>6025.6639465594781</v>
      </c>
      <c r="Q68" s="530">
        <v>4899.1806563048149</v>
      </c>
      <c r="R68" s="530">
        <v>962.35603194870225</v>
      </c>
      <c r="S68" s="530">
        <v>876.02701520444975</v>
      </c>
      <c r="T68" s="530">
        <v>51715.075618292765</v>
      </c>
      <c r="U68" s="530" t="s">
        <v>57</v>
      </c>
    </row>
    <row r="69" spans="1:21" ht="13.8" x14ac:dyDescent="0.3">
      <c r="A69" s="530" t="str">
        <f t="shared" si="0"/>
        <v>Gwynedd.2012.Economic Impact.Shopping</v>
      </c>
      <c r="B69" s="530" t="s">
        <v>219</v>
      </c>
      <c r="C69" s="530" t="str">
        <f t="shared" si="1"/>
        <v>2012.Economic Impact.Shopping</v>
      </c>
      <c r="D69" s="530" t="s">
        <v>231</v>
      </c>
      <c r="E69" s="530" t="s">
        <v>17</v>
      </c>
      <c r="F69" s="530" t="s">
        <v>51</v>
      </c>
      <c r="G69" s="530" t="s">
        <v>51</v>
      </c>
      <c r="H69" s="530">
        <v>3281.5467545601514</v>
      </c>
      <c r="I69" s="530">
        <v>3894.0825830920298</v>
      </c>
      <c r="J69" s="530">
        <v>7655.8703404281187</v>
      </c>
      <c r="K69" s="530">
        <v>18996.046393010529</v>
      </c>
      <c r="L69" s="530">
        <v>18762.389918551315</v>
      </c>
      <c r="M69" s="530">
        <v>25771.781811840261</v>
      </c>
      <c r="N69" s="530">
        <v>26505.488443674327</v>
      </c>
      <c r="O69" s="530">
        <v>30899.694021753385</v>
      </c>
      <c r="P69" s="530">
        <v>18792.737860568501</v>
      </c>
      <c r="Q69" s="530">
        <v>16129.719863807575</v>
      </c>
      <c r="R69" s="530">
        <v>4144.7944878353064</v>
      </c>
      <c r="S69" s="530">
        <v>3744.4148172397545</v>
      </c>
      <c r="T69" s="530">
        <v>178578.56729636126</v>
      </c>
      <c r="U69" s="530" t="s">
        <v>57</v>
      </c>
    </row>
    <row r="70" spans="1:21" ht="13.8" x14ac:dyDescent="0.3">
      <c r="A70" s="530" t="str">
        <f t="shared" si="0"/>
        <v>Gwynedd.2012.Economic Impact.Transport</v>
      </c>
      <c r="B70" s="530" t="s">
        <v>219</v>
      </c>
      <c r="C70" s="530" t="str">
        <f t="shared" si="1"/>
        <v>2012.Economic Impact.Transport</v>
      </c>
      <c r="D70" s="530" t="s">
        <v>231</v>
      </c>
      <c r="E70" s="530" t="s">
        <v>17</v>
      </c>
      <c r="F70" s="530" t="s">
        <v>52</v>
      </c>
      <c r="G70" s="530" t="s">
        <v>52</v>
      </c>
      <c r="H70" s="530">
        <v>1083.7642075939852</v>
      </c>
      <c r="I70" s="530">
        <v>1292.061804032762</v>
      </c>
      <c r="J70" s="530">
        <v>2269.7515035333004</v>
      </c>
      <c r="K70" s="530">
        <v>6894.8716743582418</v>
      </c>
      <c r="L70" s="530">
        <v>6931.7199073101838</v>
      </c>
      <c r="M70" s="530">
        <v>9542.6811273957483</v>
      </c>
      <c r="N70" s="530">
        <v>10070.527944526491</v>
      </c>
      <c r="O70" s="530">
        <v>11720.286042525731</v>
      </c>
      <c r="P70" s="530">
        <v>7359.8592372356952</v>
      </c>
      <c r="Q70" s="530">
        <v>6150.9547602855691</v>
      </c>
      <c r="R70" s="530">
        <v>1414.5037019514248</v>
      </c>
      <c r="S70" s="530">
        <v>1256.2291429129741</v>
      </c>
      <c r="T70" s="530">
        <v>65987.211053662104</v>
      </c>
      <c r="U70" s="530" t="s">
        <v>57</v>
      </c>
    </row>
    <row r="71" spans="1:21" ht="13.8" x14ac:dyDescent="0.3">
      <c r="A71" s="530" t="str">
        <f t="shared" si="0"/>
        <v>Gwynedd.2012.Economic Impact.Direct Expenditure</v>
      </c>
      <c r="B71" s="530" t="s">
        <v>219</v>
      </c>
      <c r="C71" s="530" t="str">
        <f t="shared" si="1"/>
        <v>2012.Economic Impact.Direct Expenditure</v>
      </c>
      <c r="D71" s="530" t="s">
        <v>231</v>
      </c>
      <c r="E71" s="530" t="s">
        <v>17</v>
      </c>
      <c r="F71" s="530" t="s">
        <v>44</v>
      </c>
      <c r="G71" s="530" t="s">
        <v>44</v>
      </c>
      <c r="H71" s="530">
        <v>11587.172159287506</v>
      </c>
      <c r="I71" s="530">
        <v>13528.177719856063</v>
      </c>
      <c r="J71" s="530">
        <v>23350.316183916617</v>
      </c>
      <c r="K71" s="530">
        <v>62077.755719436274</v>
      </c>
      <c r="L71" s="530">
        <v>62423.57507998142</v>
      </c>
      <c r="M71" s="530">
        <v>85320.550636408574</v>
      </c>
      <c r="N71" s="530">
        <v>99953.422744022464</v>
      </c>
      <c r="O71" s="530">
        <v>117618.22911071649</v>
      </c>
      <c r="P71" s="530">
        <v>78217.173847394268</v>
      </c>
      <c r="Q71" s="530">
        <v>56276.828215380272</v>
      </c>
      <c r="R71" s="530">
        <v>14497.910646638844</v>
      </c>
      <c r="S71" s="530">
        <v>13128.508223219884</v>
      </c>
      <c r="T71" s="530">
        <v>637979.62028625875</v>
      </c>
      <c r="U71" s="530" t="s">
        <v>57</v>
      </c>
    </row>
    <row r="72" spans="1:21" ht="13.8" x14ac:dyDescent="0.3">
      <c r="A72" s="530" t="str">
        <f t="shared" si="0"/>
        <v>Gwynedd.2012.Population.Total</v>
      </c>
      <c r="B72" s="530" t="s">
        <v>219</v>
      </c>
      <c r="C72" s="530" t="str">
        <f t="shared" si="1"/>
        <v>2012.Population.Total</v>
      </c>
      <c r="D72" s="530" t="s">
        <v>231</v>
      </c>
      <c r="E72" s="530" t="s">
        <v>19</v>
      </c>
      <c r="F72" s="530" t="s">
        <v>54</v>
      </c>
      <c r="G72" s="530" t="s">
        <v>54</v>
      </c>
      <c r="H72" s="530">
        <v>121900</v>
      </c>
      <c r="I72" s="530">
        <v>121900</v>
      </c>
      <c r="J72" s="530">
        <v>121900</v>
      </c>
      <c r="K72" s="530">
        <v>121900</v>
      </c>
      <c r="L72" s="530">
        <v>121900</v>
      </c>
      <c r="M72" s="530">
        <v>121900</v>
      </c>
      <c r="N72" s="530">
        <v>121900</v>
      </c>
      <c r="O72" s="530">
        <v>121900</v>
      </c>
      <c r="P72" s="530">
        <v>121900</v>
      </c>
      <c r="Q72" s="530">
        <v>121900</v>
      </c>
      <c r="R72" s="530">
        <v>121900</v>
      </c>
      <c r="S72" s="530">
        <v>121900</v>
      </c>
      <c r="T72" s="530">
        <v>121900</v>
      </c>
      <c r="U72" s="530" t="s">
        <v>60</v>
      </c>
    </row>
    <row r="73" spans="1:21" ht="13.8" x14ac:dyDescent="0.3">
      <c r="A73" s="530" t="str">
        <f t="shared" ref="A73:A136" si="2">B73&amp;"."&amp;D73&amp;"."&amp;E73&amp;"."&amp;F73</f>
        <v>Gwynedd.2012.Employment.Serviced Accommodation</v>
      </c>
      <c r="B73" s="530" t="s">
        <v>219</v>
      </c>
      <c r="C73" s="530" t="str">
        <f t="shared" ref="C73:C136" si="3">D73&amp;"."&amp;E73&amp;"."&amp;F73</f>
        <v>2012.Employment.Serviced Accommodation</v>
      </c>
      <c r="D73" s="530" t="s">
        <v>231</v>
      </c>
      <c r="E73" s="530" t="s">
        <v>20</v>
      </c>
      <c r="F73" s="530" t="s">
        <v>43</v>
      </c>
      <c r="G73" s="530" t="s">
        <v>43</v>
      </c>
      <c r="H73" s="530">
        <v>1644.5416037004227</v>
      </c>
      <c r="I73" s="530">
        <v>1765.5701090328412</v>
      </c>
      <c r="J73" s="530">
        <v>1839.5494173046063</v>
      </c>
      <c r="K73" s="530">
        <v>2939.9981647827208</v>
      </c>
      <c r="L73" s="530">
        <v>3035.6193620301983</v>
      </c>
      <c r="M73" s="530">
        <v>3136.0805565140654</v>
      </c>
      <c r="N73" s="530">
        <v>3122.6501145634716</v>
      </c>
      <c r="O73" s="530">
        <v>3552.41108689162</v>
      </c>
      <c r="P73" s="530">
        <v>3169.0920599483425</v>
      </c>
      <c r="Q73" s="530">
        <v>2966.0703170072593</v>
      </c>
      <c r="R73" s="530">
        <v>1751.5046011345094</v>
      </c>
      <c r="S73" s="530">
        <v>1671.9337805298319</v>
      </c>
      <c r="T73" s="530">
        <v>2549.5850977866571</v>
      </c>
      <c r="U73" s="530" t="s">
        <v>59</v>
      </c>
    </row>
    <row r="74" spans="1:21" ht="13.8" x14ac:dyDescent="0.3">
      <c r="A74" s="530" t="str">
        <f t="shared" si="2"/>
        <v>Gwynedd.2012.Employment.Non-Serviced Accommodation</v>
      </c>
      <c r="B74" s="530" t="s">
        <v>219</v>
      </c>
      <c r="C74" s="530" t="str">
        <f t="shared" si="3"/>
        <v>2012.Employment.Non-Serviced Accommodation</v>
      </c>
      <c r="D74" s="530" t="s">
        <v>231</v>
      </c>
      <c r="E74" s="530" t="s">
        <v>20</v>
      </c>
      <c r="F74" s="530" t="s">
        <v>48</v>
      </c>
      <c r="G74" s="530" t="s">
        <v>48</v>
      </c>
      <c r="H74" s="530">
        <v>1959.4200745236344</v>
      </c>
      <c r="I74" s="530">
        <v>1991.0749845486373</v>
      </c>
      <c r="J74" s="530">
        <v>2640.4964863462392</v>
      </c>
      <c r="K74" s="530">
        <v>8982.7488974425032</v>
      </c>
      <c r="L74" s="530">
        <v>9320.1305059320475</v>
      </c>
      <c r="M74" s="530">
        <v>12100.879998780008</v>
      </c>
      <c r="N74" s="530">
        <v>13243.65924708785</v>
      </c>
      <c r="O74" s="530">
        <v>14415.569004816731</v>
      </c>
      <c r="P74" s="530">
        <v>10396.354406725051</v>
      </c>
      <c r="Q74" s="530">
        <v>8937.21869290623</v>
      </c>
      <c r="R74" s="530">
        <v>2295.0673661363467</v>
      </c>
      <c r="S74" s="530">
        <v>2115.0332755982649</v>
      </c>
      <c r="T74" s="530">
        <v>7366.4710784036279</v>
      </c>
      <c r="U74" s="530" t="s">
        <v>59</v>
      </c>
    </row>
    <row r="75" spans="1:21" ht="13.8" x14ac:dyDescent="0.3">
      <c r="A75" s="530" t="str">
        <f t="shared" si="2"/>
        <v>Gwynedd.2012.Employment.SFR</v>
      </c>
      <c r="B75" s="530" t="s">
        <v>219</v>
      </c>
      <c r="C75" s="530" t="str">
        <f t="shared" si="3"/>
        <v>2012.Employment.SFR</v>
      </c>
      <c r="D75" s="530" t="s">
        <v>231</v>
      </c>
      <c r="E75" s="530" t="s">
        <v>20</v>
      </c>
      <c r="F75" s="530" t="s">
        <v>18</v>
      </c>
      <c r="G75" s="530" t="s">
        <v>18</v>
      </c>
      <c r="H75" s="530">
        <v>262.85536138117794</v>
      </c>
      <c r="I75" s="530">
        <v>88.319401424075764</v>
      </c>
      <c r="J75" s="530">
        <v>100.46916035013913</v>
      </c>
      <c r="K75" s="530">
        <v>239.7240895796343</v>
      </c>
      <c r="L75" s="530">
        <v>154.20847867695772</v>
      </c>
      <c r="M75" s="530">
        <v>118.78959491538195</v>
      </c>
      <c r="N75" s="530">
        <v>192.76059834619713</v>
      </c>
      <c r="O75" s="530">
        <v>204.0552011632337</v>
      </c>
      <c r="P75" s="530">
        <v>105.10499432806265</v>
      </c>
      <c r="Q75" s="530">
        <v>105.00195502640121</v>
      </c>
      <c r="R75" s="530">
        <v>81.818112152581293</v>
      </c>
      <c r="S75" s="530">
        <v>236.92029905823506</v>
      </c>
      <c r="T75" s="530">
        <v>157.5022705335065</v>
      </c>
      <c r="U75" s="530" t="s">
        <v>59</v>
      </c>
    </row>
    <row r="76" spans="1:21" ht="13.8" x14ac:dyDescent="0.3">
      <c r="A76" s="530" t="str">
        <f t="shared" si="2"/>
        <v>Gwynedd.2012.Employment.Day Visitor</v>
      </c>
      <c r="B76" s="530" t="s">
        <v>219</v>
      </c>
      <c r="C76" s="530" t="str">
        <f t="shared" si="3"/>
        <v>2012.Employment.Day Visitor</v>
      </c>
      <c r="D76" s="530" t="s">
        <v>231</v>
      </c>
      <c r="E76" s="530" t="s">
        <v>20</v>
      </c>
      <c r="F76" s="530" t="s">
        <v>71</v>
      </c>
      <c r="G76" s="530" t="s">
        <v>71</v>
      </c>
      <c r="H76" s="530">
        <v>157.1960564875238</v>
      </c>
      <c r="I76" s="530">
        <v>499.52851485354847</v>
      </c>
      <c r="J76" s="530">
        <v>1430.136139934541</v>
      </c>
      <c r="K76" s="530">
        <v>2434.2200393883418</v>
      </c>
      <c r="L76" s="530">
        <v>2130.1431695016399</v>
      </c>
      <c r="M76" s="530">
        <v>2984.1536828556173</v>
      </c>
      <c r="N76" s="530">
        <v>2527.5691255829179</v>
      </c>
      <c r="O76" s="530">
        <v>3310.4980742163393</v>
      </c>
      <c r="P76" s="530">
        <v>1445.8303697137792</v>
      </c>
      <c r="Q76" s="530">
        <v>1399.0421597084828</v>
      </c>
      <c r="R76" s="530">
        <v>416.21591144303972</v>
      </c>
      <c r="S76" s="530">
        <v>289.25041530916906</v>
      </c>
      <c r="T76" s="530">
        <v>1585.3153049162449</v>
      </c>
      <c r="U76" s="530" t="s">
        <v>59</v>
      </c>
    </row>
    <row r="77" spans="1:21" ht="13.8" x14ac:dyDescent="0.3">
      <c r="A77" s="530" t="str">
        <f t="shared" si="2"/>
        <v>Gwynedd.2012.Employment.Direct Employment</v>
      </c>
      <c r="B77" s="530" t="s">
        <v>219</v>
      </c>
      <c r="C77" s="530" t="str">
        <f t="shared" si="3"/>
        <v>2012.Employment.Direct Employment</v>
      </c>
      <c r="D77" s="530" t="s">
        <v>231</v>
      </c>
      <c r="E77" s="530" t="s">
        <v>20</v>
      </c>
      <c r="F77" s="530" t="s">
        <v>55</v>
      </c>
      <c r="G77" s="530" t="s">
        <v>55</v>
      </c>
      <c r="H77" s="530">
        <v>4024.013096092759</v>
      </c>
      <c r="I77" s="530">
        <v>4344.4930098591021</v>
      </c>
      <c r="J77" s="530">
        <v>6010.6512039355257</v>
      </c>
      <c r="K77" s="530">
        <v>14596.6911911932</v>
      </c>
      <c r="L77" s="530">
        <v>14640.101516140843</v>
      </c>
      <c r="M77" s="530">
        <v>18339.903833065073</v>
      </c>
      <c r="N77" s="530">
        <v>19086.639085580438</v>
      </c>
      <c r="O77" s="530">
        <v>21482.533367087926</v>
      </c>
      <c r="P77" s="530">
        <v>15116.381830715238</v>
      </c>
      <c r="Q77" s="530">
        <v>13407.333124648372</v>
      </c>
      <c r="R77" s="530">
        <v>4544.6059908664765</v>
      </c>
      <c r="S77" s="530">
        <v>4313.1377704955012</v>
      </c>
      <c r="T77" s="530">
        <v>11658.873751640038</v>
      </c>
      <c r="U77" s="530" t="s">
        <v>59</v>
      </c>
    </row>
    <row r="78" spans="1:21" ht="13.8" x14ac:dyDescent="0.3">
      <c r="A78" s="530" t="str">
        <f t="shared" si="2"/>
        <v>Gwynedd.2012.Employment.Indirect Employment</v>
      </c>
      <c r="B78" s="530" t="s">
        <v>219</v>
      </c>
      <c r="C78" s="530" t="str">
        <f t="shared" si="3"/>
        <v>2012.Employment.Indirect Employment</v>
      </c>
      <c r="D78" s="530" t="s">
        <v>231</v>
      </c>
      <c r="E78" s="530" t="s">
        <v>20</v>
      </c>
      <c r="F78" s="530" t="s">
        <v>53</v>
      </c>
      <c r="G78" s="530" t="s">
        <v>53</v>
      </c>
      <c r="H78" s="530">
        <v>626.83169657737642</v>
      </c>
      <c r="I78" s="530">
        <v>714.27210612796932</v>
      </c>
      <c r="J78" s="530">
        <v>1278.6111867115492</v>
      </c>
      <c r="K78" s="530">
        <v>3337.1051738688529</v>
      </c>
      <c r="L78" s="530">
        <v>3335.0915409502181</v>
      </c>
      <c r="M78" s="530">
        <v>4640.7437575213817</v>
      </c>
      <c r="N78" s="530">
        <v>5369.710361604275</v>
      </c>
      <c r="O78" s="530">
        <v>6247.6326808867234</v>
      </c>
      <c r="P78" s="530">
        <v>4160.6500688227334</v>
      </c>
      <c r="Q78" s="530">
        <v>3030.9346537441643</v>
      </c>
      <c r="R78" s="530">
        <v>779.58317086900706</v>
      </c>
      <c r="S78" s="530">
        <v>711.82008239159404</v>
      </c>
      <c r="T78" s="530">
        <v>2852.7488733396531</v>
      </c>
      <c r="U78" s="530" t="s">
        <v>59</v>
      </c>
    </row>
    <row r="79" spans="1:21" ht="13.8" x14ac:dyDescent="0.3">
      <c r="A79" s="530" t="str">
        <f t="shared" si="2"/>
        <v>Gwynedd.2012.Employment.Total</v>
      </c>
      <c r="B79" s="530" t="s">
        <v>219</v>
      </c>
      <c r="C79" s="530" t="str">
        <f t="shared" si="3"/>
        <v>2012.Employment.Total</v>
      </c>
      <c r="D79" s="530" t="s">
        <v>231</v>
      </c>
      <c r="E79" s="530" t="s">
        <v>20</v>
      </c>
      <c r="F79" s="530" t="s">
        <v>54</v>
      </c>
      <c r="G79" s="530" t="s">
        <v>54</v>
      </c>
      <c r="H79" s="530">
        <v>4650.8447926701356</v>
      </c>
      <c r="I79" s="530">
        <v>5058.7651159870711</v>
      </c>
      <c r="J79" s="530">
        <v>7289.2623906470744</v>
      </c>
      <c r="K79" s="530">
        <v>17933.796365062051</v>
      </c>
      <c r="L79" s="530">
        <v>17975.193057091063</v>
      </c>
      <c r="M79" s="530">
        <v>22980.647590586454</v>
      </c>
      <c r="N79" s="530">
        <v>24456.349447184715</v>
      </c>
      <c r="O79" s="530">
        <v>27730.16604797465</v>
      </c>
      <c r="P79" s="530">
        <v>19277.031899537971</v>
      </c>
      <c r="Q79" s="530">
        <v>16438.267778392536</v>
      </c>
      <c r="R79" s="530">
        <v>5324.1891617354831</v>
      </c>
      <c r="S79" s="530">
        <v>5024.9578528870952</v>
      </c>
      <c r="T79" s="530">
        <v>14511.622624979691</v>
      </c>
      <c r="U79" s="530" t="s">
        <v>59</v>
      </c>
    </row>
    <row r="80" spans="1:21" ht="13.8" x14ac:dyDescent="0.3">
      <c r="A80" s="530" t="str">
        <f t="shared" si="2"/>
        <v>Gwynedd.2012.Employment.Accommodation</v>
      </c>
      <c r="B80" s="530" t="s">
        <v>219</v>
      </c>
      <c r="C80" s="530" t="str">
        <f t="shared" si="3"/>
        <v>2012.Employment.Accommodation</v>
      </c>
      <c r="D80" s="530" t="s">
        <v>231</v>
      </c>
      <c r="E80" s="530" t="s">
        <v>20</v>
      </c>
      <c r="F80" s="530" t="s">
        <v>23</v>
      </c>
      <c r="G80" s="530" t="s">
        <v>23</v>
      </c>
      <c r="H80" s="530">
        <v>2299.6000000000004</v>
      </c>
      <c r="I80" s="530">
        <v>2352.9</v>
      </c>
      <c r="J80" s="530">
        <v>2398.3000000000002</v>
      </c>
      <c r="K80" s="530">
        <v>4535.8999999999996</v>
      </c>
      <c r="L80" s="530">
        <v>4576.1000000000004</v>
      </c>
      <c r="M80" s="530">
        <v>4582.6000000000004</v>
      </c>
      <c r="N80" s="530">
        <v>4599.7000000000007</v>
      </c>
      <c r="O80" s="530">
        <v>4664.0178131303946</v>
      </c>
      <c r="P80" s="530">
        <v>4592</v>
      </c>
      <c r="Q80" s="530">
        <v>4524.7000000000007</v>
      </c>
      <c r="R80" s="530">
        <v>2380.6999999999998</v>
      </c>
      <c r="S80" s="530">
        <v>2350.9</v>
      </c>
      <c r="T80" s="530">
        <v>3654.7848177608666</v>
      </c>
      <c r="U80" s="530" t="s">
        <v>59</v>
      </c>
    </row>
    <row r="81" spans="1:21" ht="13.8" x14ac:dyDescent="0.3">
      <c r="A81" s="530" t="str">
        <f t="shared" si="2"/>
        <v>Gwynedd.2012.Employment.Food &amp; Drink</v>
      </c>
      <c r="B81" s="530" t="s">
        <v>219</v>
      </c>
      <c r="C81" s="530" t="str">
        <f t="shared" si="3"/>
        <v>2012.Employment.Food &amp; Drink</v>
      </c>
      <c r="D81" s="530" t="s">
        <v>231</v>
      </c>
      <c r="E81" s="530" t="s">
        <v>20</v>
      </c>
      <c r="F81" s="530" t="s">
        <v>49</v>
      </c>
      <c r="G81" s="530" t="s">
        <v>49</v>
      </c>
      <c r="H81" s="530">
        <v>662.00377474976563</v>
      </c>
      <c r="I81" s="530">
        <v>715.12626517002036</v>
      </c>
      <c r="J81" s="530">
        <v>1207.179821468721</v>
      </c>
      <c r="K81" s="530">
        <v>3406.3021922231933</v>
      </c>
      <c r="L81" s="530">
        <v>3477.467544959442</v>
      </c>
      <c r="M81" s="530">
        <v>4580.9453669684781</v>
      </c>
      <c r="N81" s="530">
        <v>5003.5166882071971</v>
      </c>
      <c r="O81" s="530">
        <v>5754.1780871034825</v>
      </c>
      <c r="P81" s="530">
        <v>3679.2570545208464</v>
      </c>
      <c r="Q81" s="530">
        <v>3107.453718909574</v>
      </c>
      <c r="R81" s="530">
        <v>787.02421173307221</v>
      </c>
      <c r="S81" s="530">
        <v>718.75939736948931</v>
      </c>
      <c r="T81" s="530">
        <v>2758.2678436152733</v>
      </c>
      <c r="U81" s="530" t="s">
        <v>59</v>
      </c>
    </row>
    <row r="82" spans="1:21" ht="13.8" x14ac:dyDescent="0.3">
      <c r="A82" s="530" t="str">
        <f t="shared" si="2"/>
        <v>Gwynedd.2012.Employment.Recreation</v>
      </c>
      <c r="B82" s="530" t="s">
        <v>219</v>
      </c>
      <c r="C82" s="530" t="str">
        <f t="shared" si="3"/>
        <v>2012.Employment.Recreation</v>
      </c>
      <c r="D82" s="530" t="s">
        <v>231</v>
      </c>
      <c r="E82" s="530" t="s">
        <v>20</v>
      </c>
      <c r="F82" s="530" t="s">
        <v>50</v>
      </c>
      <c r="G82" s="530" t="s">
        <v>50</v>
      </c>
      <c r="H82" s="530">
        <v>204.49655436059714</v>
      </c>
      <c r="I82" s="530">
        <v>257.75359526670599</v>
      </c>
      <c r="J82" s="530">
        <v>432.17984483627299</v>
      </c>
      <c r="K82" s="530">
        <v>1619.7442945031851</v>
      </c>
      <c r="L82" s="530">
        <v>1600.3027386853537</v>
      </c>
      <c r="M82" s="530">
        <v>2324.9790324306568</v>
      </c>
      <c r="N82" s="530">
        <v>2408.7400324405653</v>
      </c>
      <c r="O82" s="530">
        <v>2818.9620646664889</v>
      </c>
      <c r="P82" s="530">
        <v>1804.8533749629657</v>
      </c>
      <c r="Q82" s="530">
        <v>1467.4404049920147</v>
      </c>
      <c r="R82" s="530">
        <v>288.25230673050083</v>
      </c>
      <c r="S82" s="530">
        <v>262.39437329611752</v>
      </c>
      <c r="T82" s="530">
        <v>1290.841551430952</v>
      </c>
      <c r="U82" s="530" t="s">
        <v>59</v>
      </c>
    </row>
    <row r="83" spans="1:21" ht="13.8" x14ac:dyDescent="0.3">
      <c r="A83" s="530" t="str">
        <f t="shared" si="2"/>
        <v>Gwynedd.2012.Employment.Shopping</v>
      </c>
      <c r="B83" s="530" t="s">
        <v>219</v>
      </c>
      <c r="C83" s="530" t="str">
        <f t="shared" si="3"/>
        <v>2012.Employment.Shopping</v>
      </c>
      <c r="D83" s="530" t="s">
        <v>231</v>
      </c>
      <c r="E83" s="530" t="s">
        <v>20</v>
      </c>
      <c r="F83" s="530" t="s">
        <v>51</v>
      </c>
      <c r="G83" s="530" t="s">
        <v>51</v>
      </c>
      <c r="H83" s="530">
        <v>738.40499695161122</v>
      </c>
      <c r="I83" s="530">
        <v>876.23619377100852</v>
      </c>
      <c r="J83" s="530">
        <v>1722.7037547248005</v>
      </c>
      <c r="K83" s="530">
        <v>4274.4402649243111</v>
      </c>
      <c r="L83" s="530">
        <v>4221.8635012164577</v>
      </c>
      <c r="M83" s="530">
        <v>5799.0983805928508</v>
      </c>
      <c r="N83" s="530">
        <v>5964.1951120320555</v>
      </c>
      <c r="O83" s="530">
        <v>6952.9676632618275</v>
      </c>
      <c r="P83" s="530">
        <v>4228.6923150986759</v>
      </c>
      <c r="Q83" s="530">
        <v>3629.4670281062604</v>
      </c>
      <c r="R83" s="530">
        <v>932.65072542454448</v>
      </c>
      <c r="S83" s="530">
        <v>842.55834778745589</v>
      </c>
      <c r="T83" s="530">
        <v>3348.6065236576546</v>
      </c>
      <c r="U83" s="530" t="s">
        <v>59</v>
      </c>
    </row>
    <row r="84" spans="1:21" ht="13.8" x14ac:dyDescent="0.3">
      <c r="A84" s="530" t="str">
        <f t="shared" si="2"/>
        <v>Gwynedd.2012.Employment.Transport</v>
      </c>
      <c r="B84" s="530" t="s">
        <v>219</v>
      </c>
      <c r="C84" s="530" t="str">
        <f t="shared" si="3"/>
        <v>2012.Employment.Transport</v>
      </c>
      <c r="D84" s="530" t="s">
        <v>231</v>
      </c>
      <c r="E84" s="530" t="s">
        <v>20</v>
      </c>
      <c r="F84" s="530" t="s">
        <v>52</v>
      </c>
      <c r="G84" s="530" t="s">
        <v>52</v>
      </c>
      <c r="H84" s="530">
        <v>119.5077700307846</v>
      </c>
      <c r="I84" s="530">
        <v>142.4769556513678</v>
      </c>
      <c r="J84" s="530">
        <v>250.28778290573126</v>
      </c>
      <c r="K84" s="530">
        <v>760.30443954250825</v>
      </c>
      <c r="L84" s="530">
        <v>764.36773127958986</v>
      </c>
      <c r="M84" s="530">
        <v>1052.2810530730878</v>
      </c>
      <c r="N84" s="530">
        <v>1110.48725290062</v>
      </c>
      <c r="O84" s="530">
        <v>1292.4077389257316</v>
      </c>
      <c r="P84" s="530">
        <v>811.57908613274878</v>
      </c>
      <c r="Q84" s="530">
        <v>678.27197264052484</v>
      </c>
      <c r="R84" s="530">
        <v>155.97874697835937</v>
      </c>
      <c r="S84" s="530">
        <v>138.52565204243837</v>
      </c>
      <c r="T84" s="530">
        <v>606.37301517529102</v>
      </c>
      <c r="U84" s="530" t="s">
        <v>59</v>
      </c>
    </row>
    <row r="85" spans="1:21" ht="13.8" x14ac:dyDescent="0.3">
      <c r="A85" s="530" t="str">
        <f t="shared" si="2"/>
        <v>Gwynedd.2012.Visitor Days.Serviced Accommodation</v>
      </c>
      <c r="B85" s="530" t="s">
        <v>219</v>
      </c>
      <c r="C85" s="530" t="str">
        <f t="shared" si="3"/>
        <v>2012.Visitor Days.Serviced Accommodation</v>
      </c>
      <c r="D85" s="530" t="s">
        <v>231</v>
      </c>
      <c r="E85" s="530" t="s">
        <v>171</v>
      </c>
      <c r="F85" s="530" t="s">
        <v>43</v>
      </c>
      <c r="G85" s="530" t="s">
        <v>43</v>
      </c>
      <c r="H85" s="530">
        <v>35.902176698883224</v>
      </c>
      <c r="I85" s="530">
        <v>51.912723732474504</v>
      </c>
      <c r="J85" s="530">
        <v>63.093712043445699</v>
      </c>
      <c r="K85" s="530">
        <v>115.70722433858083</v>
      </c>
      <c r="L85" s="530">
        <v>132.44357264503364</v>
      </c>
      <c r="M85" s="530">
        <v>152.0808326539975</v>
      </c>
      <c r="N85" s="530">
        <v>148.23531458118481</v>
      </c>
      <c r="O85" s="530">
        <v>217.1433118948749</v>
      </c>
      <c r="P85" s="530">
        <v>158.14196521830263</v>
      </c>
      <c r="Q85" s="530">
        <v>122.5371428989867</v>
      </c>
      <c r="R85" s="530">
        <v>46.464186745440713</v>
      </c>
      <c r="S85" s="530">
        <v>36.433045485618628</v>
      </c>
      <c r="T85" s="530">
        <v>1280.0952089368236</v>
      </c>
      <c r="U85" s="530" t="s">
        <v>61</v>
      </c>
    </row>
    <row r="86" spans="1:21" ht="13.8" x14ac:dyDescent="0.3">
      <c r="A86" s="530" t="str">
        <f t="shared" si="2"/>
        <v>Gwynedd.2012.Visitor Days.Non-Serviced Accommodation</v>
      </c>
      <c r="B86" s="530" t="s">
        <v>219</v>
      </c>
      <c r="C86" s="530" t="str">
        <f t="shared" si="3"/>
        <v>2012.Visitor Days.Non-Serviced Accommodation</v>
      </c>
      <c r="D86" s="530" t="s">
        <v>231</v>
      </c>
      <c r="E86" s="530" t="s">
        <v>171</v>
      </c>
      <c r="F86" s="530" t="s">
        <v>48</v>
      </c>
      <c r="G86" s="530" t="s">
        <v>48</v>
      </c>
      <c r="H86" s="530">
        <v>275.21300011200026</v>
      </c>
      <c r="I86" s="530">
        <v>273.25842222044906</v>
      </c>
      <c r="J86" s="530">
        <v>416.28144095361972</v>
      </c>
      <c r="K86" s="530">
        <v>1433.4514492332673</v>
      </c>
      <c r="L86" s="530">
        <v>1524.2853489039699</v>
      </c>
      <c r="M86" s="530">
        <v>2030.0131373877462</v>
      </c>
      <c r="N86" s="530">
        <v>2337.2470279994141</v>
      </c>
      <c r="O86" s="530">
        <v>2555.8680382707166</v>
      </c>
      <c r="P86" s="530">
        <v>1741.1965261665928</v>
      </c>
      <c r="Q86" s="530">
        <v>1455.1837695348408</v>
      </c>
      <c r="R86" s="530">
        <v>338.26219177509046</v>
      </c>
      <c r="S86" s="530">
        <v>294.42132804731625</v>
      </c>
      <c r="T86" s="530">
        <v>14674.681680605023</v>
      </c>
      <c r="U86" s="530" t="s">
        <v>61</v>
      </c>
    </row>
    <row r="87" spans="1:21" ht="13.8" x14ac:dyDescent="0.3">
      <c r="A87" s="530" t="str">
        <f t="shared" si="2"/>
        <v>Gwynedd.2012.Visitor Days.SFR</v>
      </c>
      <c r="B87" s="530" t="s">
        <v>219</v>
      </c>
      <c r="C87" s="530" t="str">
        <f t="shared" si="3"/>
        <v>2012.Visitor Days.SFR</v>
      </c>
      <c r="D87" s="530" t="s">
        <v>231</v>
      </c>
      <c r="E87" s="530" t="s">
        <v>171</v>
      </c>
      <c r="F87" s="530" t="s">
        <v>18</v>
      </c>
      <c r="G87" s="530" t="s">
        <v>18</v>
      </c>
      <c r="H87" s="530">
        <v>62.335227272727273</v>
      </c>
      <c r="I87" s="530">
        <v>20.944636363636359</v>
      </c>
      <c r="J87" s="530">
        <v>23.825909090909093</v>
      </c>
      <c r="K87" s="530">
        <v>56.849727272727272</v>
      </c>
      <c r="L87" s="530">
        <v>36.57</v>
      </c>
      <c r="M87" s="530">
        <v>28.170535909090912</v>
      </c>
      <c r="N87" s="530">
        <v>45.712499999999999</v>
      </c>
      <c r="O87" s="530">
        <v>48.390975454545455</v>
      </c>
      <c r="P87" s="530">
        <v>24.925280863636367</v>
      </c>
      <c r="Q87" s="530">
        <v>24.900845454545454</v>
      </c>
      <c r="R87" s="530">
        <v>19.402878409090903</v>
      </c>
      <c r="S87" s="530">
        <v>56.184818181818187</v>
      </c>
      <c r="T87" s="530">
        <v>448.21333427272725</v>
      </c>
      <c r="U87" s="530" t="s">
        <v>61</v>
      </c>
    </row>
    <row r="88" spans="1:21" ht="13.8" x14ac:dyDescent="0.3">
      <c r="A88" s="530" t="str">
        <f t="shared" si="2"/>
        <v>Gwynedd.2012.Visitor Days.Day Visitor</v>
      </c>
      <c r="B88" s="530" t="s">
        <v>219</v>
      </c>
      <c r="C88" s="530" t="str">
        <f t="shared" si="3"/>
        <v>2012.Visitor Days.Day Visitor</v>
      </c>
      <c r="D88" s="530" t="s">
        <v>231</v>
      </c>
      <c r="E88" s="530" t="s">
        <v>171</v>
      </c>
      <c r="F88" s="530" t="s">
        <v>71</v>
      </c>
      <c r="G88" s="530" t="s">
        <v>71</v>
      </c>
      <c r="H88" s="530">
        <v>28.159461329116027</v>
      </c>
      <c r="I88" s="530">
        <v>89.483503664900596</v>
      </c>
      <c r="J88" s="530">
        <v>256.18876343157018</v>
      </c>
      <c r="K88" s="530">
        <v>436.05626373429806</v>
      </c>
      <c r="L88" s="530">
        <v>381.58517171086163</v>
      </c>
      <c r="M88" s="530">
        <v>534.56913684842527</v>
      </c>
      <c r="N88" s="530">
        <v>452.77843884187223</v>
      </c>
      <c r="O88" s="530">
        <v>593.02914197727875</v>
      </c>
      <c r="P88" s="530">
        <v>259.00016383456813</v>
      </c>
      <c r="Q88" s="530">
        <v>250.61871445382445</v>
      </c>
      <c r="R88" s="530">
        <v>74.55922320655209</v>
      </c>
      <c r="S88" s="530">
        <v>51.815141335786329</v>
      </c>
      <c r="T88" s="530">
        <v>3407.8431243690534</v>
      </c>
      <c r="U88" s="530" t="s">
        <v>61</v>
      </c>
    </row>
    <row r="89" spans="1:21" ht="13.8" x14ac:dyDescent="0.3">
      <c r="A89" s="530" t="str">
        <f t="shared" si="2"/>
        <v>Gwynedd.2012.Visitor Days.Total</v>
      </c>
      <c r="B89" s="530" t="s">
        <v>219</v>
      </c>
      <c r="C89" s="530" t="str">
        <f t="shared" si="3"/>
        <v>2012.Visitor Days.Total</v>
      </c>
      <c r="D89" s="530" t="s">
        <v>231</v>
      </c>
      <c r="E89" s="530" t="s">
        <v>171</v>
      </c>
      <c r="F89" s="530" t="s">
        <v>54</v>
      </c>
      <c r="G89" s="530" t="s">
        <v>54</v>
      </c>
      <c r="H89" s="530">
        <v>401.60986541272678</v>
      </c>
      <c r="I89" s="530">
        <v>435.59928598146047</v>
      </c>
      <c r="J89" s="530">
        <v>759.38982551954473</v>
      </c>
      <c r="K89" s="530">
        <v>2042.0646645788734</v>
      </c>
      <c r="L89" s="530">
        <v>2074.884093259865</v>
      </c>
      <c r="M89" s="530">
        <v>2744.8336427992604</v>
      </c>
      <c r="N89" s="530">
        <v>2983.9732814224712</v>
      </c>
      <c r="O89" s="530">
        <v>3414.4314675974156</v>
      </c>
      <c r="P89" s="530">
        <v>2183.2639360830999</v>
      </c>
      <c r="Q89" s="530">
        <v>1853.2404723421976</v>
      </c>
      <c r="R89" s="530">
        <v>478.68848013617418</v>
      </c>
      <c r="S89" s="530">
        <v>438.85433305053937</v>
      </c>
      <c r="T89" s="530">
        <v>19810.833348183623</v>
      </c>
      <c r="U89" s="530" t="s">
        <v>61</v>
      </c>
    </row>
    <row r="90" spans="1:21" ht="13.8" x14ac:dyDescent="0.3">
      <c r="A90" s="530" t="str">
        <f t="shared" si="2"/>
        <v>Gwynedd.2012.Visitor Numbers.Serviced Accommodation</v>
      </c>
      <c r="B90" s="530" t="s">
        <v>219</v>
      </c>
      <c r="C90" s="530" t="str">
        <f t="shared" si="3"/>
        <v>2012.Visitor Numbers.Serviced Accommodation</v>
      </c>
      <c r="D90" s="530" t="s">
        <v>231</v>
      </c>
      <c r="E90" s="530" t="s">
        <v>172</v>
      </c>
      <c r="F90" s="530" t="s">
        <v>43</v>
      </c>
      <c r="G90" s="530" t="s">
        <v>43</v>
      </c>
      <c r="H90" s="530">
        <v>23.102107023273767</v>
      </c>
      <c r="I90" s="530">
        <v>33.989669132875932</v>
      </c>
      <c r="J90" s="530">
        <v>30.73137705183175</v>
      </c>
      <c r="K90" s="530">
        <v>63.953271128271396</v>
      </c>
      <c r="L90" s="530">
        <v>70.654856269294427</v>
      </c>
      <c r="M90" s="530">
        <v>86.474173608468675</v>
      </c>
      <c r="N90" s="530">
        <v>87.35688042837107</v>
      </c>
      <c r="O90" s="530">
        <v>125.71321924043403</v>
      </c>
      <c r="P90" s="530">
        <v>81.561686153238611</v>
      </c>
      <c r="Q90" s="530">
        <v>70.231363875739603</v>
      </c>
      <c r="R90" s="530">
        <v>26.938217197335664</v>
      </c>
      <c r="S90" s="530">
        <v>22.439644783859396</v>
      </c>
      <c r="T90" s="530">
        <v>723.14646589299434</v>
      </c>
      <c r="U90" s="530" t="s">
        <v>61</v>
      </c>
    </row>
    <row r="91" spans="1:21" ht="13.8" x14ac:dyDescent="0.3">
      <c r="A91" s="530" t="str">
        <f t="shared" si="2"/>
        <v>Gwynedd.2012.Visitor Numbers.Non-Serviced Accommodation</v>
      </c>
      <c r="B91" s="530" t="s">
        <v>219</v>
      </c>
      <c r="C91" s="530" t="str">
        <f t="shared" si="3"/>
        <v>2012.Visitor Numbers.Non-Serviced Accommodation</v>
      </c>
      <c r="D91" s="530" t="s">
        <v>231</v>
      </c>
      <c r="E91" s="530" t="s">
        <v>172</v>
      </c>
      <c r="F91" s="530" t="s">
        <v>48</v>
      </c>
      <c r="G91" s="530" t="s">
        <v>48</v>
      </c>
      <c r="H91" s="530">
        <v>80.945000032941238</v>
      </c>
      <c r="I91" s="530">
        <v>68.314605555112266</v>
      </c>
      <c r="J91" s="530">
        <v>86.725300198670794</v>
      </c>
      <c r="K91" s="530">
        <v>223.97678894269802</v>
      </c>
      <c r="L91" s="530">
        <v>220.91092013101013</v>
      </c>
      <c r="M91" s="530">
        <v>290.00187676967801</v>
      </c>
      <c r="N91" s="530">
        <v>329.18972225343862</v>
      </c>
      <c r="O91" s="530">
        <v>336.2984260882522</v>
      </c>
      <c r="P91" s="530">
        <v>252.34732263283951</v>
      </c>
      <c r="Q91" s="530">
        <v>207.88339564783439</v>
      </c>
      <c r="R91" s="530">
        <v>75.169375950020097</v>
      </c>
      <c r="S91" s="530">
        <v>52.575237151306474</v>
      </c>
      <c r="T91" s="530">
        <v>2224.3379713538015</v>
      </c>
      <c r="U91" s="530" t="s">
        <v>61</v>
      </c>
    </row>
    <row r="92" spans="1:21" ht="13.8" x14ac:dyDescent="0.3">
      <c r="A92" s="530" t="str">
        <f t="shared" si="2"/>
        <v>Gwynedd.2012.Visitor Numbers.SFR</v>
      </c>
      <c r="B92" s="530" t="s">
        <v>219</v>
      </c>
      <c r="C92" s="530" t="str">
        <f t="shared" si="3"/>
        <v>2012.Visitor Numbers.SFR</v>
      </c>
      <c r="D92" s="530" t="s">
        <v>231</v>
      </c>
      <c r="E92" s="530" t="s">
        <v>172</v>
      </c>
      <c r="F92" s="530" t="s">
        <v>18</v>
      </c>
      <c r="G92" s="530" t="s">
        <v>18</v>
      </c>
      <c r="H92" s="530">
        <v>24.934090909090909</v>
      </c>
      <c r="I92" s="530">
        <v>9.973636363636361</v>
      </c>
      <c r="J92" s="530">
        <v>11.081818181818184</v>
      </c>
      <c r="K92" s="530">
        <v>21.055454545454545</v>
      </c>
      <c r="L92" s="530">
        <v>16.622727272727271</v>
      </c>
      <c r="M92" s="530">
        <v>13.41454090909091</v>
      </c>
      <c r="N92" s="530">
        <v>18.285</v>
      </c>
      <c r="O92" s="530">
        <v>18.611913636363635</v>
      </c>
      <c r="P92" s="530">
        <v>11.486304545454548</v>
      </c>
      <c r="Q92" s="530">
        <v>11.63590909090909</v>
      </c>
      <c r="R92" s="530">
        <v>9.5580681818181787</v>
      </c>
      <c r="S92" s="530">
        <v>21.609545454545454</v>
      </c>
      <c r="T92" s="530">
        <v>188.26900909090909</v>
      </c>
      <c r="U92" s="530" t="s">
        <v>61</v>
      </c>
    </row>
    <row r="93" spans="1:21" ht="13.8" x14ac:dyDescent="0.3">
      <c r="A93" s="530" t="str">
        <f t="shared" si="2"/>
        <v>Gwynedd.2012.Visitor Numbers.Day Visitor</v>
      </c>
      <c r="B93" s="530" t="s">
        <v>219</v>
      </c>
      <c r="C93" s="530" t="str">
        <f t="shared" si="3"/>
        <v>2012.Visitor Numbers.Day Visitor</v>
      </c>
      <c r="D93" s="530" t="s">
        <v>231</v>
      </c>
      <c r="E93" s="530" t="s">
        <v>172</v>
      </c>
      <c r="F93" s="530" t="s">
        <v>71</v>
      </c>
      <c r="G93" s="530" t="s">
        <v>71</v>
      </c>
      <c r="H93" s="530">
        <v>28.159461329116027</v>
      </c>
      <c r="I93" s="530">
        <v>89.483503664900596</v>
      </c>
      <c r="J93" s="530">
        <v>256.18876343157018</v>
      </c>
      <c r="K93" s="530">
        <v>436.05626373429806</v>
      </c>
      <c r="L93" s="530">
        <v>381.58517171086163</v>
      </c>
      <c r="M93" s="530">
        <v>534.56913684842527</v>
      </c>
      <c r="N93" s="530">
        <v>452.77843884187223</v>
      </c>
      <c r="O93" s="530">
        <v>593.02914197727875</v>
      </c>
      <c r="P93" s="530">
        <v>259.00016383456813</v>
      </c>
      <c r="Q93" s="530">
        <v>250.61871445382445</v>
      </c>
      <c r="R93" s="530">
        <v>74.55922320655209</v>
      </c>
      <c r="S93" s="530">
        <v>51.815141335786329</v>
      </c>
      <c r="T93" s="530">
        <v>3407.8431243690534</v>
      </c>
      <c r="U93" s="530" t="s">
        <v>61</v>
      </c>
    </row>
    <row r="94" spans="1:21" ht="13.8" x14ac:dyDescent="0.3">
      <c r="A94" s="530" t="str">
        <f t="shared" si="2"/>
        <v>Gwynedd.2012.Visitor Numbers.Total</v>
      </c>
      <c r="B94" s="530" t="s">
        <v>219</v>
      </c>
      <c r="C94" s="530" t="str">
        <f t="shared" si="3"/>
        <v>2012.Visitor Numbers.Total</v>
      </c>
      <c r="D94" s="530" t="s">
        <v>231</v>
      </c>
      <c r="E94" s="530" t="s">
        <v>172</v>
      </c>
      <c r="F94" s="530" t="s">
        <v>54</v>
      </c>
      <c r="G94" s="530" t="s">
        <v>54</v>
      </c>
      <c r="H94" s="530">
        <v>157.14065929442194</v>
      </c>
      <c r="I94" s="530">
        <v>201.76141471652517</v>
      </c>
      <c r="J94" s="530">
        <v>384.72725886389094</v>
      </c>
      <c r="K94" s="530">
        <v>745.0417783507221</v>
      </c>
      <c r="L94" s="530">
        <v>689.77367538389353</v>
      </c>
      <c r="M94" s="530">
        <v>924.45972813566289</v>
      </c>
      <c r="N94" s="530">
        <v>887.61004152368196</v>
      </c>
      <c r="O94" s="530">
        <v>1073.6527009423285</v>
      </c>
      <c r="P94" s="530">
        <v>604.39547716610082</v>
      </c>
      <c r="Q94" s="530">
        <v>540.36938306830757</v>
      </c>
      <c r="R94" s="530">
        <v>186.22488453572601</v>
      </c>
      <c r="S94" s="530">
        <v>148.43956872549765</v>
      </c>
      <c r="T94" s="530">
        <v>6543.5965707067598</v>
      </c>
      <c r="U94" s="530" t="s">
        <v>61</v>
      </c>
    </row>
    <row r="95" spans="1:21" ht="13.8" x14ac:dyDescent="0.3">
      <c r="A95" s="530" t="str">
        <f t="shared" si="2"/>
        <v>Gwynedd.2012.Vehicle Days.Serviced Accommodation</v>
      </c>
      <c r="B95" s="530" t="s">
        <v>219</v>
      </c>
      <c r="C95" s="530" t="str">
        <f t="shared" si="3"/>
        <v>2012.Vehicle Days.Serviced Accommodation</v>
      </c>
      <c r="D95" s="530" t="s">
        <v>231</v>
      </c>
      <c r="E95" s="530" t="s">
        <v>21</v>
      </c>
      <c r="F95" s="530" t="s">
        <v>43</v>
      </c>
      <c r="G95" s="530" t="s">
        <v>43</v>
      </c>
      <c r="H95" s="530">
        <v>9.2309549593489848</v>
      </c>
      <c r="I95" s="530">
        <v>17.719652855973287</v>
      </c>
      <c r="J95" s="530">
        <v>22.47232825710168</v>
      </c>
      <c r="K95" s="530">
        <v>29.912143941569163</v>
      </c>
      <c r="L95" s="530">
        <v>37.318800100215519</v>
      </c>
      <c r="M95" s="530">
        <v>41.951948086746434</v>
      </c>
      <c r="N95" s="530">
        <v>38.344276689666479</v>
      </c>
      <c r="O95" s="530">
        <v>56.122850082741508</v>
      </c>
      <c r="P95" s="530">
        <v>40.908879979405768</v>
      </c>
      <c r="Q95" s="530">
        <v>34.94561899706185</v>
      </c>
      <c r="R95" s="530">
        <v>14.12820017547709</v>
      </c>
      <c r="S95" s="530">
        <v>9.447974902727541</v>
      </c>
      <c r="T95" s="530">
        <v>352.50362902803533</v>
      </c>
      <c r="U95" s="530" t="s">
        <v>61</v>
      </c>
    </row>
    <row r="96" spans="1:21" ht="13.8" x14ac:dyDescent="0.3">
      <c r="A96" s="530" t="str">
        <f t="shared" si="2"/>
        <v>Gwynedd.2012.Vehicle Days.Non-Serviced Accommodation</v>
      </c>
      <c r="B96" s="530" t="s">
        <v>219</v>
      </c>
      <c r="C96" s="530" t="str">
        <f t="shared" si="3"/>
        <v>2012.Vehicle Days.Non-Serviced Accommodation</v>
      </c>
      <c r="D96" s="530" t="s">
        <v>231</v>
      </c>
      <c r="E96" s="530" t="s">
        <v>21</v>
      </c>
      <c r="F96" s="530" t="s">
        <v>48</v>
      </c>
      <c r="G96" s="530" t="s">
        <v>48</v>
      </c>
      <c r="H96" s="530">
        <v>69.471987088579539</v>
      </c>
      <c r="I96" s="530">
        <v>73.441371142786238</v>
      </c>
      <c r="J96" s="530">
        <v>108.42587003108828</v>
      </c>
      <c r="K96" s="530">
        <v>388.3960217928045</v>
      </c>
      <c r="L96" s="530">
        <v>416.2936680791463</v>
      </c>
      <c r="M96" s="530">
        <v>570.41702369177005</v>
      </c>
      <c r="N96" s="530">
        <v>629.00124834988469</v>
      </c>
      <c r="O96" s="530">
        <v>689.41888966388638</v>
      </c>
      <c r="P96" s="530">
        <v>478.48711132658923</v>
      </c>
      <c r="Q96" s="530">
        <v>390.94221824320493</v>
      </c>
      <c r="R96" s="530">
        <v>87.159942728879997</v>
      </c>
      <c r="S96" s="530">
        <v>71.658729090701073</v>
      </c>
      <c r="T96" s="530">
        <v>3973.1140812293211</v>
      </c>
      <c r="U96" s="530" t="s">
        <v>61</v>
      </c>
    </row>
    <row r="97" spans="1:21" ht="13.8" x14ac:dyDescent="0.3">
      <c r="A97" s="530" t="str">
        <f t="shared" si="2"/>
        <v>Gwynedd.2012.Vehicle Days.SFR</v>
      </c>
      <c r="B97" s="530" t="s">
        <v>219</v>
      </c>
      <c r="C97" s="530" t="str">
        <f t="shared" si="3"/>
        <v>2012.Vehicle Days.SFR</v>
      </c>
      <c r="D97" s="530" t="s">
        <v>231</v>
      </c>
      <c r="E97" s="530" t="s">
        <v>21</v>
      </c>
      <c r="F97" s="530" t="s">
        <v>18</v>
      </c>
      <c r="G97" s="530" t="s">
        <v>18</v>
      </c>
      <c r="H97" s="530">
        <v>19.531704545454545</v>
      </c>
      <c r="I97" s="530">
        <v>6.5626527272727255</v>
      </c>
      <c r="J97" s="530">
        <v>7.4654515151515151</v>
      </c>
      <c r="K97" s="530">
        <v>17.812914545454547</v>
      </c>
      <c r="L97" s="530">
        <v>11.458599999999999</v>
      </c>
      <c r="M97" s="530">
        <v>8.8267679181818188</v>
      </c>
      <c r="N97" s="530">
        <v>14.323249999999998</v>
      </c>
      <c r="O97" s="530">
        <v>15.162505642424241</v>
      </c>
      <c r="P97" s="530">
        <v>7.8099213372727272</v>
      </c>
      <c r="Q97" s="530">
        <v>7.8022649090909075</v>
      </c>
      <c r="R97" s="530">
        <v>6.0795685681818155</v>
      </c>
      <c r="S97" s="530">
        <v>17.604576363636362</v>
      </c>
      <c r="T97" s="530">
        <v>140.4401780721212</v>
      </c>
      <c r="U97" s="530" t="s">
        <v>61</v>
      </c>
    </row>
    <row r="98" spans="1:21" ht="13.8" x14ac:dyDescent="0.3">
      <c r="A98" s="530" t="str">
        <f t="shared" si="2"/>
        <v>Gwynedd.2012.Vehicle Days.Day Visitor</v>
      </c>
      <c r="B98" s="530" t="s">
        <v>219</v>
      </c>
      <c r="C98" s="530" t="str">
        <f t="shared" si="3"/>
        <v>2012.Vehicle Days.Day Visitor</v>
      </c>
      <c r="D98" s="530" t="s">
        <v>231</v>
      </c>
      <c r="E98" s="530" t="s">
        <v>21</v>
      </c>
      <c r="F98" s="530" t="s">
        <v>71</v>
      </c>
      <c r="G98" s="530" t="s">
        <v>71</v>
      </c>
      <c r="H98" s="530">
        <v>6.1950814924055262</v>
      </c>
      <c r="I98" s="530">
        <v>22.498709492889294</v>
      </c>
      <c r="J98" s="530">
        <v>64.41317480565192</v>
      </c>
      <c r="K98" s="530">
        <v>95.932378021545574</v>
      </c>
      <c r="L98" s="530">
        <v>83.948737776389564</v>
      </c>
      <c r="M98" s="530">
        <v>134.40595440760407</v>
      </c>
      <c r="N98" s="530">
        <v>99.611256545211887</v>
      </c>
      <c r="O98" s="530">
        <v>130.46641123500132</v>
      </c>
      <c r="P98" s="530">
        <v>56.98003604360499</v>
      </c>
      <c r="Q98" s="530">
        <v>63.012705348390156</v>
      </c>
      <c r="R98" s="530">
        <v>18.746318977647384</v>
      </c>
      <c r="S98" s="530">
        <v>11.399331093872993</v>
      </c>
      <c r="T98" s="530">
        <v>787.6100952402146</v>
      </c>
      <c r="U98" s="530" t="s">
        <v>61</v>
      </c>
    </row>
    <row r="99" spans="1:21" ht="13.8" x14ac:dyDescent="0.3">
      <c r="A99" s="530" t="str">
        <f t="shared" si="2"/>
        <v>Gwynedd.2012.Vehicle Days.Total</v>
      </c>
      <c r="B99" s="530" t="s">
        <v>219</v>
      </c>
      <c r="C99" s="530" t="str">
        <f t="shared" si="3"/>
        <v>2012.Vehicle Days.Total</v>
      </c>
      <c r="D99" s="530" t="s">
        <v>231</v>
      </c>
      <c r="E99" s="530" t="s">
        <v>21</v>
      </c>
      <c r="F99" s="530" t="s">
        <v>54</v>
      </c>
      <c r="G99" s="530" t="s">
        <v>54</v>
      </c>
      <c r="H99" s="530">
        <v>104.4297280857886</v>
      </c>
      <c r="I99" s="530">
        <v>120.22238621892154</v>
      </c>
      <c r="J99" s="530">
        <v>202.77682460899342</v>
      </c>
      <c r="K99" s="530">
        <v>532.05345830137378</v>
      </c>
      <c r="L99" s="530">
        <v>549.01980595575139</v>
      </c>
      <c r="M99" s="530">
        <v>755.60169410430251</v>
      </c>
      <c r="N99" s="530">
        <v>781.28003158476304</v>
      </c>
      <c r="O99" s="530">
        <v>891.17065662405344</v>
      </c>
      <c r="P99" s="530">
        <v>584.18594868687273</v>
      </c>
      <c r="Q99" s="530">
        <v>496.70280749774787</v>
      </c>
      <c r="R99" s="530">
        <v>126.11403045018628</v>
      </c>
      <c r="S99" s="530">
        <v>110.11061145093795</v>
      </c>
      <c r="T99" s="530">
        <v>5253.6679835696914</v>
      </c>
      <c r="U99" s="530" t="s">
        <v>61</v>
      </c>
    </row>
    <row r="100" spans="1:21" ht="13.8" x14ac:dyDescent="0.3">
      <c r="A100" s="530" t="str">
        <f t="shared" si="2"/>
        <v>Gwynedd.2012.Vehicle Numbers.Serviced Accommodation</v>
      </c>
      <c r="B100" s="530" t="s">
        <v>219</v>
      </c>
      <c r="C100" s="530" t="str">
        <f t="shared" si="3"/>
        <v>2012.Vehicle Numbers.Serviced Accommodation</v>
      </c>
      <c r="D100" s="530" t="s">
        <v>231</v>
      </c>
      <c r="E100" s="530" t="s">
        <v>22</v>
      </c>
      <c r="F100" s="530" t="s">
        <v>43</v>
      </c>
      <c r="G100" s="530" t="s">
        <v>43</v>
      </c>
      <c r="H100" s="530">
        <v>5.9174144291340021</v>
      </c>
      <c r="I100" s="530">
        <v>11.590524763276875</v>
      </c>
      <c r="J100" s="530">
        <v>10.947039766498541</v>
      </c>
      <c r="K100" s="530">
        <v>16.532442500871756</v>
      </c>
      <c r="L100" s="530">
        <v>19.881123598139496</v>
      </c>
      <c r="M100" s="530">
        <v>23.84604188605072</v>
      </c>
      <c r="N100" s="530">
        <v>22.603397188353384</v>
      </c>
      <c r="O100" s="530">
        <v>32.50943120781497</v>
      </c>
      <c r="P100" s="530">
        <v>21.102022911165584</v>
      </c>
      <c r="Q100" s="530">
        <v>20.069614374510451</v>
      </c>
      <c r="R100" s="530">
        <v>8.0908427193440389</v>
      </c>
      <c r="S100" s="530">
        <v>5.8206315751738291</v>
      </c>
      <c r="T100" s="530">
        <v>198.91052692033364</v>
      </c>
      <c r="U100" s="530" t="s">
        <v>61</v>
      </c>
    </row>
    <row r="101" spans="1:21" ht="13.8" x14ac:dyDescent="0.3">
      <c r="A101" s="530" t="str">
        <f t="shared" si="2"/>
        <v>Gwynedd.2012.Vehicle Numbers.Non-Serviced Accommodation</v>
      </c>
      <c r="B101" s="530" t="s">
        <v>219</v>
      </c>
      <c r="C101" s="530" t="str">
        <f t="shared" si="3"/>
        <v>2012.Vehicle Numbers.Non-Serviced Accommodation</v>
      </c>
      <c r="D101" s="530" t="s">
        <v>231</v>
      </c>
      <c r="E101" s="530" t="s">
        <v>22</v>
      </c>
      <c r="F101" s="530" t="s">
        <v>48</v>
      </c>
      <c r="G101" s="530" t="s">
        <v>48</v>
      </c>
      <c r="H101" s="530">
        <v>20.432937378993984</v>
      </c>
      <c r="I101" s="530">
        <v>18.36034278569656</v>
      </c>
      <c r="J101" s="530">
        <v>22.588722923143393</v>
      </c>
      <c r="K101" s="530">
        <v>60.686878405125704</v>
      </c>
      <c r="L101" s="530">
        <v>60.332415663644383</v>
      </c>
      <c r="M101" s="530">
        <v>81.488146241681434</v>
      </c>
      <c r="N101" s="530">
        <v>88.591725119702076</v>
      </c>
      <c r="O101" s="530">
        <v>90.713011797879801</v>
      </c>
      <c r="P101" s="530">
        <v>69.345958163273806</v>
      </c>
      <c r="Q101" s="530">
        <v>55.848888320457846</v>
      </c>
      <c r="R101" s="530">
        <v>19.368876161973333</v>
      </c>
      <c r="S101" s="530">
        <v>12.796201623339478</v>
      </c>
      <c r="T101" s="530">
        <v>600.55410458491167</v>
      </c>
      <c r="U101" s="530" t="s">
        <v>61</v>
      </c>
    </row>
    <row r="102" spans="1:21" ht="13.8" x14ac:dyDescent="0.3">
      <c r="A102" s="530" t="str">
        <f t="shared" si="2"/>
        <v>Gwynedd.2012.Vehicle Numbers.SFR</v>
      </c>
      <c r="B102" s="530" t="s">
        <v>219</v>
      </c>
      <c r="C102" s="530" t="str">
        <f t="shared" si="3"/>
        <v>2012.Vehicle Numbers.SFR</v>
      </c>
      <c r="D102" s="530" t="s">
        <v>231</v>
      </c>
      <c r="E102" s="530" t="s">
        <v>22</v>
      </c>
      <c r="F102" s="530" t="s">
        <v>18</v>
      </c>
      <c r="G102" s="530" t="s">
        <v>18</v>
      </c>
      <c r="H102" s="530">
        <v>7.812681818181817</v>
      </c>
      <c r="I102" s="530">
        <v>3.1250727272727263</v>
      </c>
      <c r="J102" s="530">
        <v>3.4723030303030309</v>
      </c>
      <c r="K102" s="530">
        <v>6.5973757575757572</v>
      </c>
      <c r="L102" s="530">
        <v>5.2084545454545443</v>
      </c>
      <c r="M102" s="530">
        <v>4.2032228181818176</v>
      </c>
      <c r="N102" s="530">
        <v>5.7292999999999994</v>
      </c>
      <c r="O102" s="530">
        <v>5.8317329393939383</v>
      </c>
      <c r="P102" s="530">
        <v>3.5990420909090912</v>
      </c>
      <c r="Q102" s="530">
        <v>3.6459181818181814</v>
      </c>
      <c r="R102" s="530">
        <v>2.9948613636363626</v>
      </c>
      <c r="S102" s="530">
        <v>6.7709909090909086</v>
      </c>
      <c r="T102" s="530">
        <v>58.990956181818177</v>
      </c>
      <c r="U102" s="530" t="s">
        <v>61</v>
      </c>
    </row>
    <row r="103" spans="1:21" ht="13.8" x14ac:dyDescent="0.3">
      <c r="A103" s="530" t="str">
        <f t="shared" si="2"/>
        <v>Gwynedd.2012.Vehicle Numbers.Day Visitor</v>
      </c>
      <c r="B103" s="530" t="s">
        <v>219</v>
      </c>
      <c r="C103" s="530" t="str">
        <f t="shared" si="3"/>
        <v>2012.Vehicle Numbers.Day Visitor</v>
      </c>
      <c r="D103" s="530" t="s">
        <v>231</v>
      </c>
      <c r="E103" s="530" t="s">
        <v>22</v>
      </c>
      <c r="F103" s="530" t="s">
        <v>71</v>
      </c>
      <c r="G103" s="530" t="s">
        <v>71</v>
      </c>
      <c r="H103" s="530">
        <v>6.1950814924055262</v>
      </c>
      <c r="I103" s="530">
        <v>22.498709492889294</v>
      </c>
      <c r="J103" s="530">
        <v>64.41317480565192</v>
      </c>
      <c r="K103" s="530">
        <v>95.932378021545574</v>
      </c>
      <c r="L103" s="530">
        <v>83.948737776389564</v>
      </c>
      <c r="M103" s="530">
        <v>134.40595440760407</v>
      </c>
      <c r="N103" s="530">
        <v>99.611256545211887</v>
      </c>
      <c r="O103" s="530">
        <v>130.46641123500132</v>
      </c>
      <c r="P103" s="530">
        <v>56.98003604360499</v>
      </c>
      <c r="Q103" s="530">
        <v>63.012705348390156</v>
      </c>
      <c r="R103" s="530">
        <v>18.746318977647384</v>
      </c>
      <c r="S103" s="530">
        <v>11.399331093872993</v>
      </c>
      <c r="T103" s="530">
        <v>787.6100952402146</v>
      </c>
      <c r="U103" s="530" t="s">
        <v>61</v>
      </c>
    </row>
    <row r="104" spans="1:21" ht="13.8" x14ac:dyDescent="0.3">
      <c r="A104" s="530" t="str">
        <f t="shared" si="2"/>
        <v>Gwynedd.2012.Vehicle Numbers.Total</v>
      </c>
      <c r="B104" s="530" t="s">
        <v>219</v>
      </c>
      <c r="C104" s="530" t="str">
        <f t="shared" si="3"/>
        <v>2012.Vehicle Numbers.Total</v>
      </c>
      <c r="D104" s="530" t="s">
        <v>231</v>
      </c>
      <c r="E104" s="530" t="s">
        <v>22</v>
      </c>
      <c r="F104" s="530" t="s">
        <v>54</v>
      </c>
      <c r="G104" s="530" t="s">
        <v>54</v>
      </c>
      <c r="H104" s="530">
        <v>40.358115118715332</v>
      </c>
      <c r="I104" s="530">
        <v>55.574649769135448</v>
      </c>
      <c r="J104" s="530">
        <v>101.42124052559689</v>
      </c>
      <c r="K104" s="530">
        <v>179.74907468511879</v>
      </c>
      <c r="L104" s="530">
        <v>169.37073158362799</v>
      </c>
      <c r="M104" s="530">
        <v>243.94336535351803</v>
      </c>
      <c r="N104" s="530">
        <v>216.53567885326734</v>
      </c>
      <c r="O104" s="530">
        <v>259.52058718009005</v>
      </c>
      <c r="P104" s="530">
        <v>151.02705920895346</v>
      </c>
      <c r="Q104" s="530">
        <v>142.57712622517664</v>
      </c>
      <c r="R104" s="530">
        <v>49.200899222601123</v>
      </c>
      <c r="S104" s="530">
        <v>36.787155201477205</v>
      </c>
      <c r="T104" s="530">
        <v>1646.0656829272782</v>
      </c>
      <c r="U104" s="530" t="s">
        <v>61</v>
      </c>
    </row>
    <row r="105" spans="1:21" ht="13.8" x14ac:dyDescent="0.3">
      <c r="A105" s="530" t="str">
        <f t="shared" si="2"/>
        <v>Gwynedd.2012.Accommodation.Serviced Accommodation</v>
      </c>
      <c r="B105" s="530" t="s">
        <v>219</v>
      </c>
      <c r="C105" s="530" t="str">
        <f t="shared" si="3"/>
        <v>2012.Accommodation.Serviced Accommodation</v>
      </c>
      <c r="D105" s="530" t="s">
        <v>231</v>
      </c>
      <c r="E105" s="530" t="s">
        <v>23</v>
      </c>
      <c r="F105" s="530" t="s">
        <v>43</v>
      </c>
      <c r="G105" s="530" t="s">
        <v>43</v>
      </c>
      <c r="H105" s="530">
        <v>6724</v>
      </c>
      <c r="I105" s="530">
        <v>6847</v>
      </c>
      <c r="J105" s="530">
        <v>6908</v>
      </c>
      <c r="K105" s="530">
        <v>9504</v>
      </c>
      <c r="L105" s="530">
        <v>9561</v>
      </c>
      <c r="M105" s="530">
        <v>9561</v>
      </c>
      <c r="N105" s="530">
        <v>9578</v>
      </c>
      <c r="O105" s="530">
        <v>9578</v>
      </c>
      <c r="P105" s="530">
        <v>9574</v>
      </c>
      <c r="Q105" s="530">
        <v>9491</v>
      </c>
      <c r="R105" s="530">
        <v>6890</v>
      </c>
      <c r="S105" s="530">
        <v>6814</v>
      </c>
      <c r="T105" s="530">
        <v>9578</v>
      </c>
      <c r="U105" s="530" t="s">
        <v>58</v>
      </c>
    </row>
    <row r="106" spans="1:21" ht="13.8" x14ac:dyDescent="0.3">
      <c r="A106" s="530" t="str">
        <f t="shared" si="2"/>
        <v>Gwynedd.2012.Accommodation.Non-Serviced Accommodation</v>
      </c>
      <c r="B106" s="530" t="s">
        <v>219</v>
      </c>
      <c r="C106" s="530" t="str">
        <f t="shared" si="3"/>
        <v>2012.Accommodation.Non-Serviced Accommodation</v>
      </c>
      <c r="D106" s="530" t="s">
        <v>231</v>
      </c>
      <c r="E106" s="530" t="s">
        <v>23</v>
      </c>
      <c r="F106" s="530" t="s">
        <v>48</v>
      </c>
      <c r="G106" s="530" t="s">
        <v>48</v>
      </c>
      <c r="H106" s="530">
        <v>31217</v>
      </c>
      <c r="I106" s="530">
        <v>31441</v>
      </c>
      <c r="J106" s="530">
        <v>34474</v>
      </c>
      <c r="K106" s="530">
        <v>103301</v>
      </c>
      <c r="L106" s="530">
        <v>103404</v>
      </c>
      <c r="M106" s="530">
        <v>103484</v>
      </c>
      <c r="N106" s="530">
        <v>103521</v>
      </c>
      <c r="O106" s="530">
        <v>103521</v>
      </c>
      <c r="P106" s="530">
        <v>103436</v>
      </c>
      <c r="Q106" s="530">
        <v>101971</v>
      </c>
      <c r="R106" s="530">
        <v>33618</v>
      </c>
      <c r="S106" s="530">
        <v>33560</v>
      </c>
      <c r="T106" s="530">
        <v>103521</v>
      </c>
      <c r="U106" s="530" t="s">
        <v>58</v>
      </c>
    </row>
    <row r="107" spans="1:21" ht="13.8" x14ac:dyDescent="0.3">
      <c r="A107" s="530" t="str">
        <f t="shared" si="2"/>
        <v>Gwynedd.2012.Accommodation.Total</v>
      </c>
      <c r="B107" s="530" t="s">
        <v>219</v>
      </c>
      <c r="C107" s="530" t="str">
        <f t="shared" si="3"/>
        <v>2012.Accommodation.Total</v>
      </c>
      <c r="D107" s="530" t="s">
        <v>231</v>
      </c>
      <c r="E107" s="530" t="s">
        <v>23</v>
      </c>
      <c r="F107" s="530" t="s">
        <v>54</v>
      </c>
      <c r="G107" s="530" t="s">
        <v>54</v>
      </c>
      <c r="H107" s="530">
        <v>37941</v>
      </c>
      <c r="I107" s="530">
        <v>38288</v>
      </c>
      <c r="J107" s="530">
        <v>41382</v>
      </c>
      <c r="K107" s="530">
        <v>112805</v>
      </c>
      <c r="L107" s="530">
        <v>112965</v>
      </c>
      <c r="M107" s="530">
        <v>113045</v>
      </c>
      <c r="N107" s="530">
        <v>113099</v>
      </c>
      <c r="O107" s="530">
        <v>113099</v>
      </c>
      <c r="P107" s="530">
        <v>113010</v>
      </c>
      <c r="Q107" s="530">
        <v>111462</v>
      </c>
      <c r="R107" s="530">
        <v>40508</v>
      </c>
      <c r="S107" s="530">
        <v>40374</v>
      </c>
      <c r="T107" s="530">
        <v>113099</v>
      </c>
      <c r="U107" s="530" t="s">
        <v>58</v>
      </c>
    </row>
    <row r="108" spans="1:21" ht="13.8" x14ac:dyDescent="0.3">
      <c r="A108" s="530" t="str">
        <f t="shared" si="2"/>
        <v>Gwynedd.2012.Economic Impact.Total</v>
      </c>
      <c r="B108" s="530" t="s">
        <v>219</v>
      </c>
      <c r="C108" s="530" t="str">
        <f t="shared" si="3"/>
        <v>2012.Economic Impact.Total</v>
      </c>
      <c r="D108" s="530" t="s">
        <v>231</v>
      </c>
      <c r="E108" s="530" t="s">
        <v>17</v>
      </c>
      <c r="F108" s="530" t="s">
        <v>54</v>
      </c>
      <c r="G108" s="530" t="s">
        <v>54</v>
      </c>
      <c r="H108" s="530">
        <v>15517.909912697891</v>
      </c>
      <c r="I108" s="530">
        <v>18007.237009766406</v>
      </c>
      <c r="J108" s="530">
        <v>31368.234376283497</v>
      </c>
      <c r="K108" s="530">
        <v>83004.083098301082</v>
      </c>
      <c r="L108" s="530">
        <v>83337.275364559187</v>
      </c>
      <c r="M108" s="530">
        <v>114421.73807028482</v>
      </c>
      <c r="N108" s="530">
        <v>133625.8157619327</v>
      </c>
      <c r="O108" s="530">
        <v>156795.89957998664</v>
      </c>
      <c r="P108" s="530">
        <v>104307.78859063299</v>
      </c>
      <c r="Q108" s="530">
        <v>75283.220739312528</v>
      </c>
      <c r="R108" s="530">
        <v>19386.522722878872</v>
      </c>
      <c r="S108" s="530">
        <v>17592.191356618911</v>
      </c>
      <c r="T108" s="530">
        <v>852647.91658325552</v>
      </c>
      <c r="U108" s="530" t="s">
        <v>57</v>
      </c>
    </row>
    <row r="109" spans="1:21" ht="13.8" x14ac:dyDescent="0.3">
      <c r="A109" s="530" t="str">
        <f t="shared" si="2"/>
        <v>Gwynedd.2013.Economic Impact.Indirect Expenditure</v>
      </c>
      <c r="B109" s="530" t="s">
        <v>219</v>
      </c>
      <c r="C109" s="530" t="str">
        <f t="shared" si="3"/>
        <v>2013.Economic Impact.Indirect Expenditure</v>
      </c>
      <c r="D109" s="530" t="s">
        <v>232</v>
      </c>
      <c r="E109" s="530" t="s">
        <v>17</v>
      </c>
      <c r="F109" s="530" t="s">
        <v>45</v>
      </c>
      <c r="G109" s="530" t="s">
        <v>45</v>
      </c>
      <c r="H109" s="530">
        <v>5329.0635722058578</v>
      </c>
      <c r="I109" s="530">
        <v>6446.2376991793653</v>
      </c>
      <c r="J109" s="530">
        <v>16514.649979523227</v>
      </c>
      <c r="K109" s="530">
        <v>21016.166011515921</v>
      </c>
      <c r="L109" s="530">
        <v>23186.190988227383</v>
      </c>
      <c r="M109" s="530">
        <v>27029.374044317115</v>
      </c>
      <c r="N109" s="530">
        <v>34854.28245225687</v>
      </c>
      <c r="O109" s="530">
        <v>40073.019358572266</v>
      </c>
      <c r="P109" s="530">
        <v>25492.535799541201</v>
      </c>
      <c r="Q109" s="530">
        <v>18335.181156699531</v>
      </c>
      <c r="R109" s="530">
        <v>8022.0403974319215</v>
      </c>
      <c r="S109" s="530">
        <v>6880.640834254581</v>
      </c>
      <c r="T109" s="530">
        <v>233179.38229372524</v>
      </c>
      <c r="U109" s="530" t="s">
        <v>57</v>
      </c>
    </row>
    <row r="110" spans="1:21" ht="13.8" x14ac:dyDescent="0.3">
      <c r="A110" s="530" t="str">
        <f t="shared" si="2"/>
        <v>Gwynedd.2013.Economic Impact.Direct Revenue</v>
      </c>
      <c r="B110" s="530" t="s">
        <v>219</v>
      </c>
      <c r="C110" s="530" t="str">
        <f t="shared" si="3"/>
        <v>2013.Economic Impact.Direct Revenue</v>
      </c>
      <c r="D110" s="530" t="s">
        <v>232</v>
      </c>
      <c r="E110" s="530" t="s">
        <v>17</v>
      </c>
      <c r="F110" s="530" t="s">
        <v>46</v>
      </c>
      <c r="G110" s="530" t="s">
        <v>46</v>
      </c>
      <c r="H110" s="530">
        <v>12779.587311853082</v>
      </c>
      <c r="I110" s="530">
        <v>15352.387738241572</v>
      </c>
      <c r="J110" s="530">
        <v>39856.496006096742</v>
      </c>
      <c r="K110" s="530">
        <v>50804.047176985063</v>
      </c>
      <c r="L110" s="530">
        <v>56193.402241923846</v>
      </c>
      <c r="M110" s="530">
        <v>65726.283489274676</v>
      </c>
      <c r="N110" s="530">
        <v>84876.275382761407</v>
      </c>
      <c r="O110" s="530">
        <v>97327.085453335108</v>
      </c>
      <c r="P110" s="530">
        <v>61762.007655083078</v>
      </c>
      <c r="Q110" s="530">
        <v>44416.63606842469</v>
      </c>
      <c r="R110" s="530">
        <v>19709.583623196719</v>
      </c>
      <c r="S110" s="530">
        <v>16712.945931113522</v>
      </c>
      <c r="T110" s="530">
        <v>565516.73807828955</v>
      </c>
      <c r="U110" s="530" t="s">
        <v>57</v>
      </c>
    </row>
    <row r="111" spans="1:21" ht="13.8" x14ac:dyDescent="0.3">
      <c r="A111" s="530" t="str">
        <f t="shared" si="2"/>
        <v>Gwynedd.2013.Economic Impact.VAT</v>
      </c>
      <c r="B111" s="530" t="s">
        <v>219</v>
      </c>
      <c r="C111" s="530" t="str">
        <f t="shared" si="3"/>
        <v>2013.Economic Impact.VAT</v>
      </c>
      <c r="D111" s="530" t="s">
        <v>232</v>
      </c>
      <c r="E111" s="530" t="s">
        <v>17</v>
      </c>
      <c r="F111" s="530" t="s">
        <v>47</v>
      </c>
      <c r="G111" s="530" t="s">
        <v>47</v>
      </c>
      <c r="H111" s="530">
        <v>2555.9174623706158</v>
      </c>
      <c r="I111" s="530">
        <v>3070.4775476483142</v>
      </c>
      <c r="J111" s="530">
        <v>7971.299201219349</v>
      </c>
      <c r="K111" s="530">
        <v>10160.809435397012</v>
      </c>
      <c r="L111" s="530">
        <v>11238.68044838477</v>
      </c>
      <c r="M111" s="530">
        <v>13145.256697854937</v>
      </c>
      <c r="N111" s="530">
        <v>16975.255076552283</v>
      </c>
      <c r="O111" s="530">
        <v>19465.417090667022</v>
      </c>
      <c r="P111" s="530">
        <v>12352.401531016614</v>
      </c>
      <c r="Q111" s="530">
        <v>8883.3272136849391</v>
      </c>
      <c r="R111" s="530">
        <v>3941.916724639344</v>
      </c>
      <c r="S111" s="530">
        <v>3342.5891862227049</v>
      </c>
      <c r="T111" s="530">
        <v>113103.3476156579</v>
      </c>
      <c r="U111" s="530" t="s">
        <v>57</v>
      </c>
    </row>
    <row r="112" spans="1:21" ht="13.8" x14ac:dyDescent="0.3">
      <c r="A112" s="530" t="str">
        <f t="shared" si="2"/>
        <v>Gwynedd.2013.Economic Impact.Serviced Accommodation</v>
      </c>
      <c r="B112" s="530" t="s">
        <v>219</v>
      </c>
      <c r="C112" s="530" t="str">
        <f t="shared" si="3"/>
        <v>2013.Economic Impact.Serviced Accommodation</v>
      </c>
      <c r="D112" s="530" t="s">
        <v>232</v>
      </c>
      <c r="E112" s="530" t="s">
        <v>17</v>
      </c>
      <c r="F112" s="530" t="s">
        <v>43</v>
      </c>
      <c r="G112" s="530" t="s">
        <v>43</v>
      </c>
      <c r="H112" s="530">
        <v>3185.8473743445893</v>
      </c>
      <c r="I112" s="530">
        <v>3350.5962551472321</v>
      </c>
      <c r="J112" s="530">
        <v>5500.4050342352566</v>
      </c>
      <c r="K112" s="530">
        <v>7039.848084594847</v>
      </c>
      <c r="L112" s="530">
        <v>7445.7681365014396</v>
      </c>
      <c r="M112" s="530">
        <v>8518.8474598229604</v>
      </c>
      <c r="N112" s="530">
        <v>12961.072547109688</v>
      </c>
      <c r="O112" s="530">
        <v>14838.295470180115</v>
      </c>
      <c r="P112" s="530">
        <v>11747.164560815329</v>
      </c>
      <c r="Q112" s="530">
        <v>7242.3931093613173</v>
      </c>
      <c r="R112" s="530">
        <v>4557.0941639990579</v>
      </c>
      <c r="S112" s="530">
        <v>4225.278164629779</v>
      </c>
      <c r="T112" s="530">
        <v>90612.61036074163</v>
      </c>
      <c r="U112" s="530" t="s">
        <v>57</v>
      </c>
    </row>
    <row r="113" spans="1:21" ht="13.8" x14ac:dyDescent="0.3">
      <c r="A113" s="530" t="str">
        <f t="shared" si="2"/>
        <v>Gwynedd.2013.Economic Impact.Non-Serviced Accommodation</v>
      </c>
      <c r="B113" s="530" t="s">
        <v>219</v>
      </c>
      <c r="C113" s="530" t="str">
        <f t="shared" si="3"/>
        <v>2013.Economic Impact.Non-Serviced Accommodation</v>
      </c>
      <c r="D113" s="530" t="s">
        <v>232</v>
      </c>
      <c r="E113" s="530" t="s">
        <v>17</v>
      </c>
      <c r="F113" s="530" t="s">
        <v>48</v>
      </c>
      <c r="G113" s="530" t="s">
        <v>48</v>
      </c>
      <c r="H113" s="530">
        <v>14319.955848755153</v>
      </c>
      <c r="I113" s="530">
        <v>17270.344262544386</v>
      </c>
      <c r="J113" s="530">
        <v>48147.47888266269</v>
      </c>
      <c r="K113" s="530">
        <v>56151.448438566724</v>
      </c>
      <c r="L113" s="530">
        <v>66026.289403269271</v>
      </c>
      <c r="M113" s="530">
        <v>74840.182907762995</v>
      </c>
      <c r="N113" s="530">
        <v>102385.82856761978</v>
      </c>
      <c r="O113" s="530">
        <v>115830.05588876535</v>
      </c>
      <c r="P113" s="530">
        <v>75904.937819045255</v>
      </c>
      <c r="Q113" s="530">
        <v>52482.97830675212</v>
      </c>
      <c r="R113" s="530">
        <v>23151.903610580917</v>
      </c>
      <c r="S113" s="530">
        <v>18605.397633661414</v>
      </c>
      <c r="T113" s="530">
        <v>665116.80156998616</v>
      </c>
      <c r="U113" s="530" t="s">
        <v>57</v>
      </c>
    </row>
    <row r="114" spans="1:21" ht="13.8" x14ac:dyDescent="0.3">
      <c r="A114" s="530" t="str">
        <f t="shared" si="2"/>
        <v>Gwynedd.2013.Economic Impact.SFR</v>
      </c>
      <c r="B114" s="530" t="s">
        <v>219</v>
      </c>
      <c r="C114" s="530" t="str">
        <f t="shared" si="3"/>
        <v>2013.Economic Impact.SFR</v>
      </c>
      <c r="D114" s="530" t="s">
        <v>232</v>
      </c>
      <c r="E114" s="530" t="s">
        <v>17</v>
      </c>
      <c r="F114" s="530" t="s">
        <v>18</v>
      </c>
      <c r="G114" s="530" t="s">
        <v>18</v>
      </c>
      <c r="H114" s="530">
        <v>1901.0670015821502</v>
      </c>
      <c r="I114" s="530">
        <v>638.75851253160238</v>
      </c>
      <c r="J114" s="530">
        <v>726.63005393806634</v>
      </c>
      <c r="K114" s="530">
        <v>1733.773105442921</v>
      </c>
      <c r="L114" s="530">
        <v>1115.2926409281947</v>
      </c>
      <c r="M114" s="530">
        <v>859.13019935500529</v>
      </c>
      <c r="N114" s="530">
        <v>1394.1158011602433</v>
      </c>
      <c r="O114" s="530">
        <v>1475.8025379215603</v>
      </c>
      <c r="P114" s="530">
        <v>760.15811649663647</v>
      </c>
      <c r="Q114" s="530">
        <v>759.41289823201623</v>
      </c>
      <c r="R114" s="530">
        <v>591.73878869247051</v>
      </c>
      <c r="S114" s="530">
        <v>1713.4950574260447</v>
      </c>
      <c r="T114" s="530">
        <v>13669.374713706911</v>
      </c>
      <c r="U114" s="530" t="s">
        <v>57</v>
      </c>
    </row>
    <row r="115" spans="1:21" ht="13.8" x14ac:dyDescent="0.3">
      <c r="A115" s="530" t="str">
        <f t="shared" si="2"/>
        <v>Gwynedd.2013.Economic Impact.Day Visitor</v>
      </c>
      <c r="B115" s="530" t="s">
        <v>219</v>
      </c>
      <c r="C115" s="530" t="str">
        <f t="shared" si="3"/>
        <v>2013.Economic Impact.Day Visitor</v>
      </c>
      <c r="D115" s="530" t="s">
        <v>232</v>
      </c>
      <c r="E115" s="530" t="s">
        <v>17</v>
      </c>
      <c r="F115" s="530" t="s">
        <v>71</v>
      </c>
      <c r="G115" s="530" t="s">
        <v>71</v>
      </c>
      <c r="H115" s="530">
        <v>1257.6981217476634</v>
      </c>
      <c r="I115" s="530">
        <v>3609.4039548460314</v>
      </c>
      <c r="J115" s="530">
        <v>9967.9312160033005</v>
      </c>
      <c r="K115" s="530">
        <v>17055.952995293494</v>
      </c>
      <c r="L115" s="530">
        <v>16030.923497837106</v>
      </c>
      <c r="M115" s="530">
        <v>21682.753664505755</v>
      </c>
      <c r="N115" s="530">
        <v>19964.795995680826</v>
      </c>
      <c r="O115" s="530">
        <v>24721.368005707373</v>
      </c>
      <c r="P115" s="530">
        <v>11194.684489283667</v>
      </c>
      <c r="Q115" s="530">
        <v>11150.360124463703</v>
      </c>
      <c r="R115" s="530">
        <v>3372.8041819955379</v>
      </c>
      <c r="S115" s="530">
        <v>2392.0050958735696</v>
      </c>
      <c r="T115" s="530">
        <v>142400.68134323801</v>
      </c>
      <c r="U115" s="530" t="s">
        <v>57</v>
      </c>
    </row>
    <row r="116" spans="1:21" ht="13.8" x14ac:dyDescent="0.3">
      <c r="A116" s="530" t="str">
        <f t="shared" si="2"/>
        <v>Gwynedd.2013.Economic Impact.Accommodation</v>
      </c>
      <c r="B116" s="530" t="s">
        <v>219</v>
      </c>
      <c r="C116" s="530" t="str">
        <f t="shared" si="3"/>
        <v>2013.Economic Impact.Accommodation</v>
      </c>
      <c r="D116" s="530" t="s">
        <v>232</v>
      </c>
      <c r="E116" s="530" t="s">
        <v>17</v>
      </c>
      <c r="F116" s="530" t="s">
        <v>23</v>
      </c>
      <c r="G116" s="530" t="s">
        <v>23</v>
      </c>
      <c r="H116" s="530">
        <v>2855.3218639547276</v>
      </c>
      <c r="I116" s="530">
        <v>3345.2276084777859</v>
      </c>
      <c r="J116" s="530">
        <v>7028.9406938898937</v>
      </c>
      <c r="K116" s="530">
        <v>7805.5247844630403</v>
      </c>
      <c r="L116" s="530">
        <v>8453.8921593803479</v>
      </c>
      <c r="M116" s="530">
        <v>10318.085473415143</v>
      </c>
      <c r="N116" s="530">
        <v>19062.889963494235</v>
      </c>
      <c r="O116" s="530">
        <v>22449.596541056701</v>
      </c>
      <c r="P116" s="530">
        <v>17080.344657869602</v>
      </c>
      <c r="Q116" s="530">
        <v>7330.1064081580053</v>
      </c>
      <c r="R116" s="530">
        <v>4014.7438187735347</v>
      </c>
      <c r="S116" s="530">
        <v>3784.457193580035</v>
      </c>
      <c r="T116" s="530">
        <v>113529.13116651306</v>
      </c>
      <c r="U116" s="530" t="s">
        <v>57</v>
      </c>
    </row>
    <row r="117" spans="1:21" ht="13.8" x14ac:dyDescent="0.3">
      <c r="A117" s="530" t="str">
        <f t="shared" si="2"/>
        <v>Gwynedd.2013.Economic Impact.Food &amp; Drink</v>
      </c>
      <c r="B117" s="530" t="s">
        <v>219</v>
      </c>
      <c r="C117" s="530" t="str">
        <f t="shared" si="3"/>
        <v>2013.Economic Impact.Food &amp; Drink</v>
      </c>
      <c r="D117" s="530" t="s">
        <v>232</v>
      </c>
      <c r="E117" s="530" t="s">
        <v>17</v>
      </c>
      <c r="F117" s="530" t="s">
        <v>49</v>
      </c>
      <c r="G117" s="530" t="s">
        <v>49</v>
      </c>
      <c r="H117" s="530">
        <v>3442.8028640204775</v>
      </c>
      <c r="I117" s="530">
        <v>3824.4182405148226</v>
      </c>
      <c r="J117" s="530">
        <v>10359.245849999916</v>
      </c>
      <c r="K117" s="530">
        <v>13413.534326184652</v>
      </c>
      <c r="L117" s="530">
        <v>15100.41085682325</v>
      </c>
      <c r="M117" s="530">
        <v>17292.627450005974</v>
      </c>
      <c r="N117" s="530">
        <v>20954.358591566692</v>
      </c>
      <c r="O117" s="530">
        <v>23597.665706519387</v>
      </c>
      <c r="P117" s="530">
        <v>14468.546771572283</v>
      </c>
      <c r="Q117" s="530">
        <v>11868.702931063452</v>
      </c>
      <c r="R117" s="530">
        <v>5234.7615628644553</v>
      </c>
      <c r="S117" s="530">
        <v>4323.9679446048103</v>
      </c>
      <c r="T117" s="530">
        <v>143881.04309574014</v>
      </c>
      <c r="U117" s="530" t="s">
        <v>57</v>
      </c>
    </row>
    <row r="118" spans="1:21" ht="13.8" x14ac:dyDescent="0.3">
      <c r="A118" s="530" t="str">
        <f t="shared" si="2"/>
        <v>Gwynedd.2013.Economic Impact.Recreation</v>
      </c>
      <c r="B118" s="530" t="s">
        <v>219</v>
      </c>
      <c r="C118" s="530" t="str">
        <f t="shared" si="3"/>
        <v>2013.Economic Impact.Recreation</v>
      </c>
      <c r="D118" s="530" t="s">
        <v>232</v>
      </c>
      <c r="E118" s="530" t="s">
        <v>17</v>
      </c>
      <c r="F118" s="530" t="s">
        <v>50</v>
      </c>
      <c r="G118" s="530" t="s">
        <v>50</v>
      </c>
      <c r="H118" s="530">
        <v>894.15579088492098</v>
      </c>
      <c r="I118" s="530">
        <v>1233.7974435374829</v>
      </c>
      <c r="J118" s="530">
        <v>3822.5528959270091</v>
      </c>
      <c r="K118" s="530">
        <v>4627.1372274562382</v>
      </c>
      <c r="L118" s="530">
        <v>5288.0888376774601</v>
      </c>
      <c r="M118" s="530">
        <v>6349.2721666782418</v>
      </c>
      <c r="N118" s="530">
        <v>7622.0840948727773</v>
      </c>
      <c r="O118" s="530">
        <v>8711.7022510115185</v>
      </c>
      <c r="P118" s="530">
        <v>5162.164763012066</v>
      </c>
      <c r="Q118" s="530">
        <v>4012.9042034275922</v>
      </c>
      <c r="R118" s="530">
        <v>1681.5588549325073</v>
      </c>
      <c r="S118" s="530">
        <v>1339.091317652644</v>
      </c>
      <c r="T118" s="530">
        <v>50744.509847070454</v>
      </c>
      <c r="U118" s="530" t="s">
        <v>57</v>
      </c>
    </row>
    <row r="119" spans="1:21" ht="13.8" x14ac:dyDescent="0.3">
      <c r="A119" s="530" t="str">
        <f t="shared" si="2"/>
        <v>Gwynedd.2013.Economic Impact.Shopping</v>
      </c>
      <c r="B119" s="530" t="s">
        <v>219</v>
      </c>
      <c r="C119" s="530" t="str">
        <f t="shared" si="3"/>
        <v>2013.Economic Impact.Shopping</v>
      </c>
      <c r="D119" s="530" t="s">
        <v>232</v>
      </c>
      <c r="E119" s="530" t="s">
        <v>17</v>
      </c>
      <c r="F119" s="530" t="s">
        <v>51</v>
      </c>
      <c r="G119" s="530" t="s">
        <v>51</v>
      </c>
      <c r="H119" s="530">
        <v>4185.7903583450025</v>
      </c>
      <c r="I119" s="530">
        <v>5199.5368084239499</v>
      </c>
      <c r="J119" s="530">
        <v>13679.206080589984</v>
      </c>
      <c r="K119" s="530">
        <v>18574.591234010077</v>
      </c>
      <c r="L119" s="530">
        <v>20170.395914910623</v>
      </c>
      <c r="M119" s="530">
        <v>23429.040199407609</v>
      </c>
      <c r="N119" s="530">
        <v>27203.685690519174</v>
      </c>
      <c r="O119" s="530">
        <v>31178.134363673977</v>
      </c>
      <c r="P119" s="530">
        <v>18271.004385937267</v>
      </c>
      <c r="Q119" s="530">
        <v>15637.755855013627</v>
      </c>
      <c r="R119" s="530">
        <v>6429.3944664041419</v>
      </c>
      <c r="S119" s="530">
        <v>5377.3917818394912</v>
      </c>
      <c r="T119" s="530">
        <v>189335.92713907489</v>
      </c>
      <c r="U119" s="530" t="s">
        <v>57</v>
      </c>
    </row>
    <row r="120" spans="1:21" ht="13.8" x14ac:dyDescent="0.3">
      <c r="A120" s="530" t="str">
        <f t="shared" si="2"/>
        <v>Gwynedd.2013.Economic Impact.Transport</v>
      </c>
      <c r="B120" s="530" t="s">
        <v>219</v>
      </c>
      <c r="C120" s="530" t="str">
        <f t="shared" si="3"/>
        <v>2013.Economic Impact.Transport</v>
      </c>
      <c r="D120" s="530" t="s">
        <v>232</v>
      </c>
      <c r="E120" s="530" t="s">
        <v>17</v>
      </c>
      <c r="F120" s="530" t="s">
        <v>52</v>
      </c>
      <c r="G120" s="530" t="s">
        <v>52</v>
      </c>
      <c r="H120" s="530">
        <v>1401.5164346479521</v>
      </c>
      <c r="I120" s="530">
        <v>1749.4076372875293</v>
      </c>
      <c r="J120" s="530">
        <v>4966.5504856899415</v>
      </c>
      <c r="K120" s="530">
        <v>6383.259604871052</v>
      </c>
      <c r="L120" s="530">
        <v>7180.6144731321729</v>
      </c>
      <c r="M120" s="530">
        <v>8337.2581997677062</v>
      </c>
      <c r="N120" s="530">
        <v>10033.257042308524</v>
      </c>
      <c r="O120" s="530">
        <v>11389.986591073521</v>
      </c>
      <c r="P120" s="530">
        <v>6779.9470766918575</v>
      </c>
      <c r="Q120" s="530">
        <v>5567.1666707620207</v>
      </c>
      <c r="R120" s="530">
        <v>2349.1249202220797</v>
      </c>
      <c r="S120" s="530">
        <v>1888.0376934365424</v>
      </c>
      <c r="T120" s="530">
        <v>68026.126829890913</v>
      </c>
      <c r="U120" s="530" t="s">
        <v>57</v>
      </c>
    </row>
    <row r="121" spans="1:21" ht="13.8" x14ac:dyDescent="0.3">
      <c r="A121" s="530" t="str">
        <f t="shared" si="2"/>
        <v>Gwynedd.2013.Economic Impact.Direct Expenditure</v>
      </c>
      <c r="B121" s="530" t="s">
        <v>219</v>
      </c>
      <c r="C121" s="530" t="str">
        <f t="shared" si="3"/>
        <v>2013.Economic Impact.Direct Expenditure</v>
      </c>
      <c r="D121" s="530" t="s">
        <v>232</v>
      </c>
      <c r="E121" s="530" t="s">
        <v>17</v>
      </c>
      <c r="F121" s="530" t="s">
        <v>44</v>
      </c>
      <c r="G121" s="530" t="s">
        <v>44</v>
      </c>
      <c r="H121" s="530">
        <v>15335.504774223698</v>
      </c>
      <c r="I121" s="530">
        <v>18422.865285889886</v>
      </c>
      <c r="J121" s="530">
        <v>47827.795207316085</v>
      </c>
      <c r="K121" s="530">
        <v>60964.856612382071</v>
      </c>
      <c r="L121" s="530">
        <v>67432.082690308627</v>
      </c>
      <c r="M121" s="530">
        <v>78871.540187129605</v>
      </c>
      <c r="N121" s="530">
        <v>101851.53045931367</v>
      </c>
      <c r="O121" s="530">
        <v>116792.50254400213</v>
      </c>
      <c r="P121" s="530">
        <v>74114.409186099685</v>
      </c>
      <c r="Q121" s="530">
        <v>53299.963282109624</v>
      </c>
      <c r="R121" s="530">
        <v>23651.50034783606</v>
      </c>
      <c r="S121" s="530">
        <v>20055.535117336229</v>
      </c>
      <c r="T121" s="530">
        <v>678620.08569394727</v>
      </c>
      <c r="U121" s="530" t="s">
        <v>57</v>
      </c>
    </row>
    <row r="122" spans="1:21" ht="13.8" x14ac:dyDescent="0.3">
      <c r="A122" s="530" t="str">
        <f t="shared" si="2"/>
        <v>Gwynedd.2013.Population.Total</v>
      </c>
      <c r="B122" s="530" t="s">
        <v>219</v>
      </c>
      <c r="C122" s="530" t="str">
        <f t="shared" si="3"/>
        <v>2013.Population.Total</v>
      </c>
      <c r="D122" s="530" t="s">
        <v>232</v>
      </c>
      <c r="E122" s="530" t="s">
        <v>19</v>
      </c>
      <c r="F122" s="530" t="s">
        <v>54</v>
      </c>
      <c r="G122" s="530" t="s">
        <v>54</v>
      </c>
      <c r="H122" s="530">
        <v>122142</v>
      </c>
      <c r="I122" s="530">
        <v>122142</v>
      </c>
      <c r="J122" s="530">
        <v>122142</v>
      </c>
      <c r="K122" s="530">
        <v>122142</v>
      </c>
      <c r="L122" s="530">
        <v>122142</v>
      </c>
      <c r="M122" s="530">
        <v>122142</v>
      </c>
      <c r="N122" s="530">
        <v>122142</v>
      </c>
      <c r="O122" s="530">
        <v>122142</v>
      </c>
      <c r="P122" s="530">
        <v>122142</v>
      </c>
      <c r="Q122" s="530">
        <v>122142</v>
      </c>
      <c r="R122" s="530">
        <v>122142</v>
      </c>
      <c r="S122" s="530">
        <v>122142</v>
      </c>
      <c r="T122" s="530">
        <v>122142</v>
      </c>
      <c r="U122" s="530" t="s">
        <v>60</v>
      </c>
    </row>
    <row r="123" spans="1:21" ht="13.8" x14ac:dyDescent="0.3">
      <c r="A123" s="530" t="str">
        <f t="shared" si="2"/>
        <v>Gwynedd.2013.Employment.Serviced Accommodation</v>
      </c>
      <c r="B123" s="530" t="s">
        <v>219</v>
      </c>
      <c r="C123" s="530" t="str">
        <f t="shared" si="3"/>
        <v>2013.Employment.Serviced Accommodation</v>
      </c>
      <c r="D123" s="530" t="s">
        <v>232</v>
      </c>
      <c r="E123" s="530" t="s">
        <v>20</v>
      </c>
      <c r="F123" s="530" t="s">
        <v>43</v>
      </c>
      <c r="G123" s="530" t="s">
        <v>43</v>
      </c>
      <c r="H123" s="530">
        <v>1386.380438766626</v>
      </c>
      <c r="I123" s="530">
        <v>1442.916345593731</v>
      </c>
      <c r="J123" s="530">
        <v>1673.7367347547786</v>
      </c>
      <c r="K123" s="530">
        <v>1810.9484433339901</v>
      </c>
      <c r="L123" s="530">
        <v>1840.374367210642</v>
      </c>
      <c r="M123" s="530">
        <v>1908.2044922335576</v>
      </c>
      <c r="N123" s="530">
        <v>1964.4243798965551</v>
      </c>
      <c r="O123" s="530">
        <v>2109.1783266402908</v>
      </c>
      <c r="P123" s="530">
        <v>1907.0726781937719</v>
      </c>
      <c r="Q123" s="530">
        <v>1809.1624436840834</v>
      </c>
      <c r="R123" s="530">
        <v>1554.1745317360633</v>
      </c>
      <c r="S123" s="530">
        <v>1510.8035076080162</v>
      </c>
      <c r="T123" s="530">
        <v>1743.1147241376755</v>
      </c>
      <c r="U123" s="530" t="s">
        <v>59</v>
      </c>
    </row>
    <row r="124" spans="1:21" ht="13.8" x14ac:dyDescent="0.3">
      <c r="A124" s="530" t="str">
        <f t="shared" si="2"/>
        <v>Gwynedd.2013.Employment.Non-Serviced Accommodation</v>
      </c>
      <c r="B124" s="530" t="s">
        <v>219</v>
      </c>
      <c r="C124" s="530" t="str">
        <f t="shared" si="3"/>
        <v>2013.Employment.Non-Serviced Accommodation</v>
      </c>
      <c r="D124" s="530" t="s">
        <v>232</v>
      </c>
      <c r="E124" s="530" t="s">
        <v>20</v>
      </c>
      <c r="F124" s="530" t="s">
        <v>48</v>
      </c>
      <c r="G124" s="530" t="s">
        <v>48</v>
      </c>
      <c r="H124" s="530">
        <v>4281.6500994739663</v>
      </c>
      <c r="I124" s="530">
        <v>4579.0876293558886</v>
      </c>
      <c r="J124" s="530">
        <v>8435.4467043197419</v>
      </c>
      <c r="K124" s="530">
        <v>9616.9065074067312</v>
      </c>
      <c r="L124" s="530">
        <v>10872.633520424395</v>
      </c>
      <c r="M124" s="530">
        <v>11870.913157593508</v>
      </c>
      <c r="N124" s="530">
        <v>14114.12097928344</v>
      </c>
      <c r="O124" s="530">
        <v>15347.570803202478</v>
      </c>
      <c r="P124" s="530">
        <v>10842.665968495721</v>
      </c>
      <c r="Q124" s="530">
        <v>9217.8866214557511</v>
      </c>
      <c r="R124" s="530">
        <v>5444.1275312286343</v>
      </c>
      <c r="S124" s="530">
        <v>4810.3662239610167</v>
      </c>
      <c r="T124" s="530">
        <v>9119.4479788501067</v>
      </c>
      <c r="U124" s="530" t="s">
        <v>59</v>
      </c>
    </row>
    <row r="125" spans="1:21" ht="13.8" x14ac:dyDescent="0.3">
      <c r="A125" s="530" t="str">
        <f t="shared" si="2"/>
        <v>Gwynedd.2013.Employment.SFR</v>
      </c>
      <c r="B125" s="530" t="s">
        <v>219</v>
      </c>
      <c r="C125" s="530" t="str">
        <f t="shared" si="3"/>
        <v>2013.Employment.SFR</v>
      </c>
      <c r="D125" s="530" t="s">
        <v>232</v>
      </c>
      <c r="E125" s="530" t="s">
        <v>20</v>
      </c>
      <c r="F125" s="530" t="s">
        <v>18</v>
      </c>
      <c r="G125" s="530" t="s">
        <v>18</v>
      </c>
      <c r="H125" s="530">
        <v>263.37591299234577</v>
      </c>
      <c r="I125" s="530">
        <v>88.494306765428163</v>
      </c>
      <c r="J125" s="530">
        <v>100.66812674374108</v>
      </c>
      <c r="K125" s="530">
        <v>240.19883264901941</v>
      </c>
      <c r="L125" s="530">
        <v>154.51386895550954</v>
      </c>
      <c r="M125" s="530">
        <v>119.02484259950093</v>
      </c>
      <c r="N125" s="530">
        <v>193.14233619438693</v>
      </c>
      <c r="O125" s="530">
        <v>204.45930653576471</v>
      </c>
      <c r="P125" s="530">
        <v>105.3131414012354</v>
      </c>
      <c r="Q125" s="530">
        <v>105.20989804334241</v>
      </c>
      <c r="R125" s="530">
        <v>81.980142517417491</v>
      </c>
      <c r="S125" s="530">
        <v>237.38948957710105</v>
      </c>
      <c r="T125" s="530">
        <v>157.81418374789942</v>
      </c>
      <c r="U125" s="530" t="s">
        <v>59</v>
      </c>
    </row>
    <row r="126" spans="1:21" ht="13.8" x14ac:dyDescent="0.3">
      <c r="A126" s="530" t="str">
        <f t="shared" si="2"/>
        <v>Gwynedd.2013.Employment.Day Visitor</v>
      </c>
      <c r="B126" s="530" t="s">
        <v>219</v>
      </c>
      <c r="C126" s="530" t="str">
        <f t="shared" si="3"/>
        <v>2013.Employment.Day Visitor</v>
      </c>
      <c r="D126" s="530" t="s">
        <v>232</v>
      </c>
      <c r="E126" s="530" t="s">
        <v>20</v>
      </c>
      <c r="F126" s="530" t="s">
        <v>71</v>
      </c>
      <c r="G126" s="530" t="s">
        <v>71</v>
      </c>
      <c r="H126" s="530">
        <v>165.79963612288765</v>
      </c>
      <c r="I126" s="530">
        <v>475.81995391899812</v>
      </c>
      <c r="J126" s="530">
        <v>1314.0509156639289</v>
      </c>
      <c r="K126" s="530">
        <v>2248.449569455669</v>
      </c>
      <c r="L126" s="530">
        <v>2113.3221372405851</v>
      </c>
      <c r="M126" s="530">
        <v>2858.3907422249772</v>
      </c>
      <c r="N126" s="530">
        <v>2631.9160807458802</v>
      </c>
      <c r="O126" s="530">
        <v>3258.9647300345064</v>
      </c>
      <c r="P126" s="530">
        <v>1475.771159023928</v>
      </c>
      <c r="Q126" s="530">
        <v>1469.9279734204413</v>
      </c>
      <c r="R126" s="530">
        <v>444.62951515865456</v>
      </c>
      <c r="S126" s="530">
        <v>315.33288286129834</v>
      </c>
      <c r="T126" s="530">
        <v>1564.3646079893126</v>
      </c>
      <c r="U126" s="530" t="s">
        <v>59</v>
      </c>
    </row>
    <row r="127" spans="1:21" ht="13.8" x14ac:dyDescent="0.3">
      <c r="A127" s="530" t="str">
        <f t="shared" si="2"/>
        <v>Gwynedd.2013.Employment.Direct Employment</v>
      </c>
      <c r="B127" s="530" t="s">
        <v>219</v>
      </c>
      <c r="C127" s="530" t="str">
        <f t="shared" si="3"/>
        <v>2013.Employment.Direct Employment</v>
      </c>
      <c r="D127" s="530" t="s">
        <v>232</v>
      </c>
      <c r="E127" s="530" t="s">
        <v>20</v>
      </c>
      <c r="F127" s="530" t="s">
        <v>55</v>
      </c>
      <c r="G127" s="530" t="s">
        <v>55</v>
      </c>
      <c r="H127" s="530">
        <v>6097.2060873558257</v>
      </c>
      <c r="I127" s="530">
        <v>6586.3182356340458</v>
      </c>
      <c r="J127" s="530">
        <v>11523.902481482191</v>
      </c>
      <c r="K127" s="530">
        <v>13916.503352845408</v>
      </c>
      <c r="L127" s="530">
        <v>14980.843893831134</v>
      </c>
      <c r="M127" s="530">
        <v>16756.533234651542</v>
      </c>
      <c r="N127" s="530">
        <v>18903.603776120261</v>
      </c>
      <c r="O127" s="530">
        <v>20920.173166413042</v>
      </c>
      <c r="P127" s="530">
        <v>14330.822947114657</v>
      </c>
      <c r="Q127" s="530">
        <v>12602.186936603617</v>
      </c>
      <c r="R127" s="530">
        <v>7524.91172064077</v>
      </c>
      <c r="S127" s="530">
        <v>6873.892104007432</v>
      </c>
      <c r="T127" s="530">
        <v>12584.741494724993</v>
      </c>
      <c r="U127" s="530" t="s">
        <v>59</v>
      </c>
    </row>
    <row r="128" spans="1:21" ht="13.8" x14ac:dyDescent="0.3">
      <c r="A128" s="530" t="str">
        <f t="shared" si="2"/>
        <v>Gwynedd.2013.Employment.Indirect Employment</v>
      </c>
      <c r="B128" s="530" t="s">
        <v>219</v>
      </c>
      <c r="C128" s="530" t="str">
        <f t="shared" si="3"/>
        <v>2013.Employment.Indirect Employment</v>
      </c>
      <c r="D128" s="530" t="s">
        <v>232</v>
      </c>
      <c r="E128" s="530" t="s">
        <v>20</v>
      </c>
      <c r="F128" s="530" t="s">
        <v>53</v>
      </c>
      <c r="G128" s="530" t="s">
        <v>53</v>
      </c>
      <c r="H128" s="530">
        <v>822.8311075541169</v>
      </c>
      <c r="I128" s="530">
        <v>995.32775950302801</v>
      </c>
      <c r="J128" s="530">
        <v>2549.9353778387881</v>
      </c>
      <c r="K128" s="530">
        <v>3244.9894660646428</v>
      </c>
      <c r="L128" s="530">
        <v>3580.0509699882095</v>
      </c>
      <c r="M128" s="530">
        <v>4173.4555199111455</v>
      </c>
      <c r="N128" s="530">
        <v>5381.6561661551677</v>
      </c>
      <c r="O128" s="530">
        <v>6187.452346004372</v>
      </c>
      <c r="P128" s="530">
        <v>3936.1608624265014</v>
      </c>
      <c r="Q128" s="530">
        <v>2831.0334853310051</v>
      </c>
      <c r="R128" s="530">
        <v>1238.6387018330338</v>
      </c>
      <c r="S128" s="530">
        <v>1062.4015348325581</v>
      </c>
      <c r="T128" s="530">
        <v>3000.3277747868801</v>
      </c>
      <c r="U128" s="530" t="s">
        <v>59</v>
      </c>
    </row>
    <row r="129" spans="1:21" ht="13.8" x14ac:dyDescent="0.3">
      <c r="A129" s="530" t="str">
        <f t="shared" si="2"/>
        <v>Gwynedd.2013.Employment.Total</v>
      </c>
      <c r="B129" s="530" t="s">
        <v>219</v>
      </c>
      <c r="C129" s="530" t="str">
        <f t="shared" si="3"/>
        <v>2013.Employment.Total</v>
      </c>
      <c r="D129" s="530" t="s">
        <v>232</v>
      </c>
      <c r="E129" s="530" t="s">
        <v>20</v>
      </c>
      <c r="F129" s="530" t="s">
        <v>54</v>
      </c>
      <c r="G129" s="530" t="s">
        <v>54</v>
      </c>
      <c r="H129" s="530">
        <v>6920.0371949099426</v>
      </c>
      <c r="I129" s="530">
        <v>7581.6459951370734</v>
      </c>
      <c r="J129" s="530">
        <v>14073.83785932098</v>
      </c>
      <c r="K129" s="530">
        <v>17161.49281891005</v>
      </c>
      <c r="L129" s="530">
        <v>18560.894863819343</v>
      </c>
      <c r="M129" s="530">
        <v>20929.988754562688</v>
      </c>
      <c r="N129" s="530">
        <v>24285.259942275428</v>
      </c>
      <c r="O129" s="530">
        <v>27107.625512417413</v>
      </c>
      <c r="P129" s="530">
        <v>18266.983809541158</v>
      </c>
      <c r="Q129" s="530">
        <v>15433.220421934622</v>
      </c>
      <c r="R129" s="530">
        <v>8763.5504224738033</v>
      </c>
      <c r="S129" s="530">
        <v>7936.2936388399903</v>
      </c>
      <c r="T129" s="530">
        <v>15585.069269511876</v>
      </c>
      <c r="U129" s="530" t="s">
        <v>59</v>
      </c>
    </row>
    <row r="130" spans="1:21" ht="13.8" x14ac:dyDescent="0.3">
      <c r="A130" s="530" t="str">
        <f t="shared" si="2"/>
        <v>Gwynedd.2013.Employment.Accommodation</v>
      </c>
      <c r="B130" s="530" t="s">
        <v>219</v>
      </c>
      <c r="C130" s="530" t="str">
        <f t="shared" si="3"/>
        <v>2013.Employment.Accommodation</v>
      </c>
      <c r="D130" s="530" t="s">
        <v>232</v>
      </c>
      <c r="E130" s="530" t="s">
        <v>20</v>
      </c>
      <c r="F130" s="530" t="s">
        <v>23</v>
      </c>
      <c r="G130" s="530" t="s">
        <v>23</v>
      </c>
      <c r="H130" s="530">
        <v>3953.5</v>
      </c>
      <c r="I130" s="530">
        <v>3994.9</v>
      </c>
      <c r="J130" s="530">
        <v>4429</v>
      </c>
      <c r="K130" s="530">
        <v>4640.5</v>
      </c>
      <c r="L130" s="530">
        <v>4677.2</v>
      </c>
      <c r="M130" s="530">
        <v>4787.7606060606058</v>
      </c>
      <c r="N130" s="530">
        <v>4687.1229390681001</v>
      </c>
      <c r="O130" s="530">
        <v>4745.1961290322579</v>
      </c>
      <c r="P130" s="530">
        <v>4671.3074074074075</v>
      </c>
      <c r="Q130" s="530">
        <v>4600.5</v>
      </c>
      <c r="R130" s="530">
        <v>4134.6000000000004</v>
      </c>
      <c r="S130" s="530">
        <v>4079</v>
      </c>
      <c r="T130" s="530">
        <v>4450.0489234640308</v>
      </c>
      <c r="U130" s="530" t="s">
        <v>59</v>
      </c>
    </row>
    <row r="131" spans="1:21" ht="13.8" x14ac:dyDescent="0.3">
      <c r="A131" s="530" t="str">
        <f t="shared" si="2"/>
        <v>Gwynedd.2013.Employment.Food &amp; Drink</v>
      </c>
      <c r="B131" s="530" t="s">
        <v>219</v>
      </c>
      <c r="C131" s="530" t="str">
        <f t="shared" si="3"/>
        <v>2013.Employment.Food &amp; Drink</v>
      </c>
      <c r="D131" s="530" t="s">
        <v>232</v>
      </c>
      <c r="E131" s="530" t="s">
        <v>20</v>
      </c>
      <c r="F131" s="530" t="s">
        <v>49</v>
      </c>
      <c r="G131" s="530" t="s">
        <v>49</v>
      </c>
      <c r="H131" s="530">
        <v>822.7882777432651</v>
      </c>
      <c r="I131" s="530">
        <v>913.98974084982729</v>
      </c>
      <c r="J131" s="530">
        <v>2475.7345652044864</v>
      </c>
      <c r="K131" s="530">
        <v>3205.6725995061197</v>
      </c>
      <c r="L131" s="530">
        <v>3608.8157041882268</v>
      </c>
      <c r="M131" s="530">
        <v>4132.728976712533</v>
      </c>
      <c r="N131" s="530">
        <v>5007.838467008839</v>
      </c>
      <c r="O131" s="530">
        <v>5639.5569227436636</v>
      </c>
      <c r="P131" s="530">
        <v>3457.8078239797323</v>
      </c>
      <c r="Q131" s="530">
        <v>2836.4765655771967</v>
      </c>
      <c r="R131" s="530">
        <v>1251.0447506936516</v>
      </c>
      <c r="S131" s="530">
        <v>1033.3760829987846</v>
      </c>
      <c r="T131" s="530">
        <v>2865.4858731005274</v>
      </c>
      <c r="U131" s="530" t="s">
        <v>59</v>
      </c>
    </row>
    <row r="132" spans="1:21" ht="13.8" x14ac:dyDescent="0.3">
      <c r="A132" s="530" t="str">
        <f t="shared" si="2"/>
        <v>Gwynedd.2013.Employment.Recreation</v>
      </c>
      <c r="B132" s="530" t="s">
        <v>219</v>
      </c>
      <c r="C132" s="530" t="str">
        <f t="shared" si="3"/>
        <v>2013.Employment.Recreation</v>
      </c>
      <c r="D132" s="530" t="s">
        <v>232</v>
      </c>
      <c r="E132" s="530" t="s">
        <v>20</v>
      </c>
      <c r="F132" s="530" t="s">
        <v>50</v>
      </c>
      <c r="G132" s="530" t="s">
        <v>50</v>
      </c>
      <c r="H132" s="530">
        <v>259.31828104232204</v>
      </c>
      <c r="I132" s="530">
        <v>357.81933693669822</v>
      </c>
      <c r="J132" s="530">
        <v>1108.5963500657106</v>
      </c>
      <c r="K132" s="530">
        <v>1341.9375954422649</v>
      </c>
      <c r="L132" s="530">
        <v>1533.62324705013</v>
      </c>
      <c r="M132" s="530">
        <v>1841.3819615297505</v>
      </c>
      <c r="N132" s="530">
        <v>2210.516070679696</v>
      </c>
      <c r="O132" s="530">
        <v>2526.5213016727907</v>
      </c>
      <c r="P132" s="530">
        <v>1497.1034202850897</v>
      </c>
      <c r="Q132" s="530">
        <v>1163.8010183778822</v>
      </c>
      <c r="R132" s="530">
        <v>487.67670709937221</v>
      </c>
      <c r="S132" s="530">
        <v>388.35610325658928</v>
      </c>
      <c r="T132" s="530">
        <v>1226.387616119858</v>
      </c>
      <c r="U132" s="530" t="s">
        <v>59</v>
      </c>
    </row>
    <row r="133" spans="1:21" ht="13.8" x14ac:dyDescent="0.3">
      <c r="A133" s="530" t="str">
        <f t="shared" si="2"/>
        <v>Gwynedd.2013.Employment.Shopping</v>
      </c>
      <c r="B133" s="530" t="s">
        <v>219</v>
      </c>
      <c r="C133" s="530" t="str">
        <f t="shared" si="3"/>
        <v>2013.Employment.Shopping</v>
      </c>
      <c r="D133" s="530" t="s">
        <v>232</v>
      </c>
      <c r="E133" s="530" t="s">
        <v>20</v>
      </c>
      <c r="F133" s="530" t="s">
        <v>51</v>
      </c>
      <c r="G133" s="530" t="s">
        <v>51</v>
      </c>
      <c r="H133" s="530">
        <v>911.96133542249652</v>
      </c>
      <c r="I133" s="530">
        <v>1132.8270470916648</v>
      </c>
      <c r="J133" s="530">
        <v>2980.299053894033</v>
      </c>
      <c r="K133" s="530">
        <v>4046.8603481117411</v>
      </c>
      <c r="L133" s="530">
        <v>4394.5395301247991</v>
      </c>
      <c r="M133" s="530">
        <v>5104.502843846928</v>
      </c>
      <c r="N133" s="530">
        <v>5926.887733705973</v>
      </c>
      <c r="O133" s="530">
        <v>6792.8038951096014</v>
      </c>
      <c r="P133" s="530">
        <v>3980.7176501542995</v>
      </c>
      <c r="Q133" s="530">
        <v>3407.00978588612</v>
      </c>
      <c r="R133" s="530">
        <v>1400.7770723276769</v>
      </c>
      <c r="S133" s="530">
        <v>1171.5764456954926</v>
      </c>
      <c r="T133" s="530">
        <v>3437.5635617809021</v>
      </c>
      <c r="U133" s="530" t="s">
        <v>59</v>
      </c>
    </row>
    <row r="134" spans="1:21" ht="13.8" x14ac:dyDescent="0.3">
      <c r="A134" s="530" t="str">
        <f t="shared" si="2"/>
        <v>Gwynedd.2013.Employment.Transport</v>
      </c>
      <c r="B134" s="530" t="s">
        <v>219</v>
      </c>
      <c r="C134" s="530" t="str">
        <f t="shared" si="3"/>
        <v>2013.Employment.Transport</v>
      </c>
      <c r="D134" s="530" t="s">
        <v>232</v>
      </c>
      <c r="E134" s="530" t="s">
        <v>20</v>
      </c>
      <c r="F134" s="530" t="s">
        <v>52</v>
      </c>
      <c r="G134" s="530" t="s">
        <v>52</v>
      </c>
      <c r="H134" s="530">
        <v>149.63819314774145</v>
      </c>
      <c r="I134" s="530">
        <v>186.78211075585537</v>
      </c>
      <c r="J134" s="530">
        <v>530.27251231796072</v>
      </c>
      <c r="K134" s="530">
        <v>681.53280978528267</v>
      </c>
      <c r="L134" s="530">
        <v>766.66541246797635</v>
      </c>
      <c r="M134" s="530">
        <v>890.15884650172495</v>
      </c>
      <c r="N134" s="530">
        <v>1071.238565657653</v>
      </c>
      <c r="O134" s="530">
        <v>1216.0949178547226</v>
      </c>
      <c r="P134" s="530">
        <v>723.88664528812603</v>
      </c>
      <c r="Q134" s="530">
        <v>594.39956676242127</v>
      </c>
      <c r="R134" s="530">
        <v>250.81319052006876</v>
      </c>
      <c r="S134" s="530">
        <v>201.58347205656611</v>
      </c>
      <c r="T134" s="530">
        <v>605.25552025967488</v>
      </c>
      <c r="U134" s="530" t="s">
        <v>59</v>
      </c>
    </row>
    <row r="135" spans="1:21" ht="13.8" x14ac:dyDescent="0.3">
      <c r="A135" s="530" t="str">
        <f t="shared" si="2"/>
        <v>Gwynedd.2013.Visitor Days.Serviced Accommodation</v>
      </c>
      <c r="B135" s="530" t="s">
        <v>219</v>
      </c>
      <c r="C135" s="530" t="str">
        <f t="shared" si="3"/>
        <v>2013.Visitor Days.Serviced Accommodation</v>
      </c>
      <c r="D135" s="530" t="s">
        <v>232</v>
      </c>
      <c r="E135" s="530" t="s">
        <v>171</v>
      </c>
      <c r="F135" s="530" t="s">
        <v>43</v>
      </c>
      <c r="G135" s="530" t="s">
        <v>43</v>
      </c>
      <c r="H135" s="530">
        <v>39.434063371717173</v>
      </c>
      <c r="I135" s="530">
        <v>42.356126193939396</v>
      </c>
      <c r="J135" s="530">
        <v>68.89281827037037</v>
      </c>
      <c r="K135" s="530">
        <v>87.852279747474753</v>
      </c>
      <c r="L135" s="530">
        <v>93.802805478787874</v>
      </c>
      <c r="M135" s="530">
        <v>106.27972567340068</v>
      </c>
      <c r="N135" s="530">
        <v>116.46669030976432</v>
      </c>
      <c r="O135" s="530">
        <v>133.57972278787881</v>
      </c>
      <c r="P135" s="530">
        <v>105.42917204377105</v>
      </c>
      <c r="Q135" s="530">
        <v>90.131450568350175</v>
      </c>
      <c r="R135" s="530">
        <v>57.069870272727272</v>
      </c>
      <c r="S135" s="530">
        <v>52.436666008417511</v>
      </c>
      <c r="T135" s="530">
        <v>993.73139072659933</v>
      </c>
      <c r="U135" s="530" t="s">
        <v>61</v>
      </c>
    </row>
    <row r="136" spans="1:21" ht="13.8" x14ac:dyDescent="0.3">
      <c r="A136" s="530" t="str">
        <f t="shared" si="2"/>
        <v>Gwynedd.2013.Visitor Days.Non-Serviced Accommodation</v>
      </c>
      <c r="B136" s="530" t="s">
        <v>219</v>
      </c>
      <c r="C136" s="530" t="str">
        <f t="shared" si="3"/>
        <v>2013.Visitor Days.Non-Serviced Accommodation</v>
      </c>
      <c r="D136" s="530" t="s">
        <v>232</v>
      </c>
      <c r="E136" s="530" t="s">
        <v>171</v>
      </c>
      <c r="F136" s="530" t="s">
        <v>48</v>
      </c>
      <c r="G136" s="530" t="s">
        <v>48</v>
      </c>
      <c r="H136" s="530">
        <v>366.49363872482331</v>
      </c>
      <c r="I136" s="530">
        <v>412.71325666289556</v>
      </c>
      <c r="J136" s="530">
        <v>1174.7769373448614</v>
      </c>
      <c r="K136" s="530">
        <v>1407.5540183043722</v>
      </c>
      <c r="L136" s="530">
        <v>1680.1355140513151</v>
      </c>
      <c r="M136" s="530">
        <v>1873.0552251182371</v>
      </c>
      <c r="N136" s="530">
        <v>2383.9080291183409</v>
      </c>
      <c r="O136" s="530">
        <v>2642.0401540752578</v>
      </c>
      <c r="P136" s="530">
        <v>1695.4999323815621</v>
      </c>
      <c r="Q136" s="530">
        <v>1337.0952124743549</v>
      </c>
      <c r="R136" s="530">
        <v>597.34421184102462</v>
      </c>
      <c r="S136" s="530">
        <v>457.80104922287808</v>
      </c>
      <c r="T136" s="530">
        <v>16028.417179319922</v>
      </c>
      <c r="U136" s="530" t="s">
        <v>61</v>
      </c>
    </row>
    <row r="137" spans="1:21" ht="13.8" x14ac:dyDescent="0.3">
      <c r="A137" s="530" t="str">
        <f t="shared" ref="A137:A200" si="4">B137&amp;"."&amp;D137&amp;"."&amp;E137&amp;"."&amp;F137</f>
        <v>Gwynedd.2013.Visitor Days.SFR</v>
      </c>
      <c r="B137" s="530" t="s">
        <v>219</v>
      </c>
      <c r="C137" s="530" t="str">
        <f t="shared" ref="C137:C200" si="5">D137&amp;"."&amp;E137&amp;"."&amp;F137</f>
        <v>2013.Visitor Days.SFR</v>
      </c>
      <c r="D137" s="530" t="s">
        <v>232</v>
      </c>
      <c r="E137" s="530" t="s">
        <v>171</v>
      </c>
      <c r="F137" s="530" t="s">
        <v>18</v>
      </c>
      <c r="G137" s="530" t="s">
        <v>18</v>
      </c>
      <c r="H137" s="530">
        <v>62.458977272727275</v>
      </c>
      <c r="I137" s="530">
        <v>20.986216363636359</v>
      </c>
      <c r="J137" s="530">
        <v>23.873209090909093</v>
      </c>
      <c r="K137" s="530">
        <v>56.962587272727269</v>
      </c>
      <c r="L137" s="530">
        <v>36.642600000000002</v>
      </c>
      <c r="M137" s="530">
        <v>28.226461009090908</v>
      </c>
      <c r="N137" s="530">
        <v>45.803249999999998</v>
      </c>
      <c r="O137" s="530">
        <v>48.487042854545457</v>
      </c>
      <c r="P137" s="530">
        <v>24.974763373636364</v>
      </c>
      <c r="Q137" s="530">
        <v>24.950279454545456</v>
      </c>
      <c r="R137" s="530">
        <v>19.441397659090903</v>
      </c>
      <c r="S137" s="530">
        <v>56.296358181818185</v>
      </c>
      <c r="T137" s="530">
        <v>449.1031425327273</v>
      </c>
      <c r="U137" s="530" t="s">
        <v>61</v>
      </c>
    </row>
    <row r="138" spans="1:21" ht="13.8" x14ac:dyDescent="0.3">
      <c r="A138" s="530" t="str">
        <f t="shared" si="4"/>
        <v>Gwynedd.2013.Visitor Days.Day Visitor</v>
      </c>
      <c r="B138" s="530" t="s">
        <v>219</v>
      </c>
      <c r="C138" s="530" t="str">
        <f t="shared" si="5"/>
        <v>2013.Visitor Days.Day Visitor</v>
      </c>
      <c r="D138" s="530" t="s">
        <v>232</v>
      </c>
      <c r="E138" s="530" t="s">
        <v>171</v>
      </c>
      <c r="F138" s="530" t="s">
        <v>71</v>
      </c>
      <c r="G138" s="530" t="s">
        <v>71</v>
      </c>
      <c r="H138" s="530">
        <v>29.700815633432693</v>
      </c>
      <c r="I138" s="530">
        <v>85.236862133895428</v>
      </c>
      <c r="J138" s="530">
        <v>235.39487113319501</v>
      </c>
      <c r="K138" s="530">
        <v>402.78005238791502</v>
      </c>
      <c r="L138" s="530">
        <v>378.57375709626115</v>
      </c>
      <c r="M138" s="530">
        <v>512.04295997496104</v>
      </c>
      <c r="N138" s="530">
        <v>471.47301468720912</v>
      </c>
      <c r="O138" s="530">
        <v>583.80050080974081</v>
      </c>
      <c r="P138" s="530">
        <v>264.36491741646392</v>
      </c>
      <c r="Q138" s="530">
        <v>263.31818786759777</v>
      </c>
      <c r="R138" s="530">
        <v>79.649506860930757</v>
      </c>
      <c r="S138" s="530">
        <v>56.487722386076932</v>
      </c>
      <c r="T138" s="530">
        <v>3362.8231683876788</v>
      </c>
      <c r="U138" s="530" t="s">
        <v>61</v>
      </c>
    </row>
    <row r="139" spans="1:21" ht="13.8" x14ac:dyDescent="0.3">
      <c r="A139" s="530" t="str">
        <f t="shared" si="4"/>
        <v>Gwynedd.2013.Visitor Days.Total</v>
      </c>
      <c r="B139" s="530" t="s">
        <v>219</v>
      </c>
      <c r="C139" s="530" t="str">
        <f t="shared" si="5"/>
        <v>2013.Visitor Days.Total</v>
      </c>
      <c r="D139" s="530" t="s">
        <v>232</v>
      </c>
      <c r="E139" s="530" t="s">
        <v>171</v>
      </c>
      <c r="F139" s="530" t="s">
        <v>54</v>
      </c>
      <c r="G139" s="530" t="s">
        <v>54</v>
      </c>
      <c r="H139" s="530">
        <v>498.08749500270045</v>
      </c>
      <c r="I139" s="530">
        <v>561.29246135436676</v>
      </c>
      <c r="J139" s="530">
        <v>1502.9378358393358</v>
      </c>
      <c r="K139" s="530">
        <v>1955.1489377124892</v>
      </c>
      <c r="L139" s="530">
        <v>2189.1546766263641</v>
      </c>
      <c r="M139" s="530">
        <v>2519.6043717756897</v>
      </c>
      <c r="N139" s="530">
        <v>3017.6509841153138</v>
      </c>
      <c r="O139" s="530">
        <v>3407.9074205274228</v>
      </c>
      <c r="P139" s="530">
        <v>2090.2687852154336</v>
      </c>
      <c r="Q139" s="530">
        <v>1715.4951303648481</v>
      </c>
      <c r="R139" s="530">
        <v>753.50498663377346</v>
      </c>
      <c r="S139" s="530">
        <v>623.02179579919073</v>
      </c>
      <c r="T139" s="530">
        <v>20834.074880966928</v>
      </c>
      <c r="U139" s="530" t="s">
        <v>61</v>
      </c>
    </row>
    <row r="140" spans="1:21" ht="13.8" x14ac:dyDescent="0.3">
      <c r="A140" s="530" t="str">
        <f t="shared" si="4"/>
        <v>Gwynedd.2013.Visitor Numbers.Serviced Accommodation</v>
      </c>
      <c r="B140" s="530" t="s">
        <v>219</v>
      </c>
      <c r="C140" s="530" t="str">
        <f t="shared" si="5"/>
        <v>2013.Visitor Numbers.Serviced Accommodation</v>
      </c>
      <c r="D140" s="530" t="s">
        <v>232</v>
      </c>
      <c r="E140" s="530" t="s">
        <v>172</v>
      </c>
      <c r="F140" s="530" t="s">
        <v>43</v>
      </c>
      <c r="G140" s="530" t="s">
        <v>43</v>
      </c>
      <c r="H140" s="530">
        <v>24.722667768656493</v>
      </c>
      <c r="I140" s="530">
        <v>28.473663742359495</v>
      </c>
      <c r="J140" s="530">
        <v>33.546629250970014</v>
      </c>
      <c r="K140" s="530">
        <v>48.546158193041521</v>
      </c>
      <c r="L140" s="530">
        <v>50.205229586753283</v>
      </c>
      <c r="M140" s="530">
        <v>60.180025582879516</v>
      </c>
      <c r="N140" s="530">
        <v>68.693460323005979</v>
      </c>
      <c r="O140" s="530">
        <v>78.756264120997699</v>
      </c>
      <c r="P140" s="530">
        <v>54.6655586329031</v>
      </c>
      <c r="Q140" s="530">
        <v>51.88622376958439</v>
      </c>
      <c r="R140" s="530">
        <v>33.728006014769541</v>
      </c>
      <c r="S140" s="530">
        <v>31.963166879033388</v>
      </c>
      <c r="T140" s="530">
        <v>565.3670538649543</v>
      </c>
      <c r="U140" s="530" t="s">
        <v>61</v>
      </c>
    </row>
    <row r="141" spans="1:21" ht="13.8" x14ac:dyDescent="0.3">
      <c r="A141" s="530" t="str">
        <f t="shared" si="4"/>
        <v>Gwynedd.2013.Visitor Numbers.Non-Serviced Accommodation</v>
      </c>
      <c r="B141" s="530" t="s">
        <v>219</v>
      </c>
      <c r="C141" s="530" t="str">
        <f t="shared" si="5"/>
        <v>2013.Visitor Numbers.Non-Serviced Accommodation</v>
      </c>
      <c r="D141" s="530" t="s">
        <v>232</v>
      </c>
      <c r="E141" s="530" t="s">
        <v>172</v>
      </c>
      <c r="F141" s="530" t="s">
        <v>48</v>
      </c>
      <c r="G141" s="530" t="s">
        <v>48</v>
      </c>
      <c r="H141" s="530">
        <v>107.79224668377157</v>
      </c>
      <c r="I141" s="530">
        <v>103.17831416572389</v>
      </c>
      <c r="J141" s="530">
        <v>244.74519528017947</v>
      </c>
      <c r="K141" s="530">
        <v>219.93031536005816</v>
      </c>
      <c r="L141" s="530">
        <v>243.49790058714711</v>
      </c>
      <c r="M141" s="530">
        <v>267.57931787403385</v>
      </c>
      <c r="N141" s="530">
        <v>335.76169424201987</v>
      </c>
      <c r="O141" s="530">
        <v>347.63686237832337</v>
      </c>
      <c r="P141" s="530">
        <v>245.7246278813858</v>
      </c>
      <c r="Q141" s="530">
        <v>191.01360178205067</v>
      </c>
      <c r="R141" s="530">
        <v>132.74315818689436</v>
      </c>
      <c r="S141" s="530">
        <v>81.750187361228242</v>
      </c>
      <c r="T141" s="530">
        <v>2521.3534217828164</v>
      </c>
      <c r="U141" s="530" t="s">
        <v>61</v>
      </c>
    </row>
    <row r="142" spans="1:21" ht="13.8" x14ac:dyDescent="0.3">
      <c r="A142" s="530" t="str">
        <f t="shared" si="4"/>
        <v>Gwynedd.2013.Visitor Numbers.SFR</v>
      </c>
      <c r="B142" s="530" t="s">
        <v>219</v>
      </c>
      <c r="C142" s="530" t="str">
        <f t="shared" si="5"/>
        <v>2013.Visitor Numbers.SFR</v>
      </c>
      <c r="D142" s="530" t="s">
        <v>232</v>
      </c>
      <c r="E142" s="530" t="s">
        <v>172</v>
      </c>
      <c r="F142" s="530" t="s">
        <v>18</v>
      </c>
      <c r="G142" s="530" t="s">
        <v>18</v>
      </c>
      <c r="H142" s="530">
        <v>24.983590909090911</v>
      </c>
      <c r="I142" s="530">
        <v>9.993436363636361</v>
      </c>
      <c r="J142" s="530">
        <v>11.103818181818184</v>
      </c>
      <c r="K142" s="530">
        <v>21.097254545454543</v>
      </c>
      <c r="L142" s="530">
        <v>16.655727272727272</v>
      </c>
      <c r="M142" s="530">
        <v>13.441171909090908</v>
      </c>
      <c r="N142" s="530">
        <v>18.321300000000001</v>
      </c>
      <c r="O142" s="530">
        <v>18.648862636363639</v>
      </c>
      <c r="P142" s="530">
        <v>11.509107545454546</v>
      </c>
      <c r="Q142" s="530">
        <v>11.659009090909091</v>
      </c>
      <c r="R142" s="530">
        <v>9.5770431818181798</v>
      </c>
      <c r="S142" s="530">
        <v>21.652445454545454</v>
      </c>
      <c r="T142" s="530">
        <v>188.64276709090908</v>
      </c>
      <c r="U142" s="530" t="s">
        <v>61</v>
      </c>
    </row>
    <row r="143" spans="1:21" ht="13.8" x14ac:dyDescent="0.3">
      <c r="A143" s="530" t="str">
        <f t="shared" si="4"/>
        <v>Gwynedd.2013.Visitor Numbers.Day Visitor</v>
      </c>
      <c r="B143" s="530" t="s">
        <v>219</v>
      </c>
      <c r="C143" s="530" t="str">
        <f t="shared" si="5"/>
        <v>2013.Visitor Numbers.Day Visitor</v>
      </c>
      <c r="D143" s="530" t="s">
        <v>232</v>
      </c>
      <c r="E143" s="530" t="s">
        <v>172</v>
      </c>
      <c r="F143" s="530" t="s">
        <v>71</v>
      </c>
      <c r="G143" s="530" t="s">
        <v>71</v>
      </c>
      <c r="H143" s="530">
        <v>29.700815633432693</v>
      </c>
      <c r="I143" s="530">
        <v>85.236862133895428</v>
      </c>
      <c r="J143" s="530">
        <v>235.39487113319501</v>
      </c>
      <c r="K143" s="530">
        <v>402.78005238791502</v>
      </c>
      <c r="L143" s="530">
        <v>378.57375709626115</v>
      </c>
      <c r="M143" s="530">
        <v>512.04295997496104</v>
      </c>
      <c r="N143" s="530">
        <v>471.47301468720912</v>
      </c>
      <c r="O143" s="530">
        <v>583.80050080974081</v>
      </c>
      <c r="P143" s="530">
        <v>264.36491741646392</v>
      </c>
      <c r="Q143" s="530">
        <v>263.31818786759777</v>
      </c>
      <c r="R143" s="530">
        <v>79.649506860930757</v>
      </c>
      <c r="S143" s="530">
        <v>56.487722386076932</v>
      </c>
      <c r="T143" s="530">
        <v>3362.8231683876788</v>
      </c>
      <c r="U143" s="530" t="s">
        <v>61</v>
      </c>
    </row>
    <row r="144" spans="1:21" ht="13.8" x14ac:dyDescent="0.3">
      <c r="A144" s="530" t="str">
        <f t="shared" si="4"/>
        <v>Gwynedd.2013.Visitor Numbers.Total</v>
      </c>
      <c r="B144" s="530" t="s">
        <v>219</v>
      </c>
      <c r="C144" s="530" t="str">
        <f t="shared" si="5"/>
        <v>2013.Visitor Numbers.Total</v>
      </c>
      <c r="D144" s="530" t="s">
        <v>232</v>
      </c>
      <c r="E144" s="530" t="s">
        <v>172</v>
      </c>
      <c r="F144" s="530" t="s">
        <v>54</v>
      </c>
      <c r="G144" s="530" t="s">
        <v>54</v>
      </c>
      <c r="H144" s="530">
        <v>187.19932099495165</v>
      </c>
      <c r="I144" s="530">
        <v>226.88227640561519</v>
      </c>
      <c r="J144" s="530">
        <v>524.79051384616264</v>
      </c>
      <c r="K144" s="530">
        <v>692.3537804864693</v>
      </c>
      <c r="L144" s="530">
        <v>688.93261454288881</v>
      </c>
      <c r="M144" s="530">
        <v>853.24347534096523</v>
      </c>
      <c r="N144" s="530">
        <v>894.24946925223503</v>
      </c>
      <c r="O144" s="530">
        <v>1028.8424899454255</v>
      </c>
      <c r="P144" s="530">
        <v>576.26421147620727</v>
      </c>
      <c r="Q144" s="530">
        <v>517.87702251014184</v>
      </c>
      <c r="R144" s="530">
        <v>255.69771424441282</v>
      </c>
      <c r="S144" s="530">
        <v>191.85352208088401</v>
      </c>
      <c r="T144" s="530">
        <v>6638.1864111263603</v>
      </c>
      <c r="U144" s="530" t="s">
        <v>61</v>
      </c>
    </row>
    <row r="145" spans="1:21" ht="13.8" x14ac:dyDescent="0.3">
      <c r="A145" s="530" t="str">
        <f t="shared" si="4"/>
        <v>Gwynedd.2013.Vehicle Days.Serviced Accommodation</v>
      </c>
      <c r="B145" s="530" t="s">
        <v>219</v>
      </c>
      <c r="C145" s="530" t="str">
        <f t="shared" si="5"/>
        <v>2013.Vehicle Days.Serviced Accommodation</v>
      </c>
      <c r="D145" s="530" t="s">
        <v>232</v>
      </c>
      <c r="E145" s="530" t="s">
        <v>21</v>
      </c>
      <c r="F145" s="530" t="s">
        <v>43</v>
      </c>
      <c r="G145" s="530" t="s">
        <v>43</v>
      </c>
      <c r="H145" s="530">
        <v>10.113878425964472</v>
      </c>
      <c r="I145" s="530">
        <v>14.444783311325285</v>
      </c>
      <c r="J145" s="530">
        <v>24.549925209110505</v>
      </c>
      <c r="K145" s="530">
        <v>22.747550671928238</v>
      </c>
      <c r="L145" s="530">
        <v>26.073938563816419</v>
      </c>
      <c r="M145" s="530">
        <v>29.361476884861901</v>
      </c>
      <c r="N145" s="530">
        <v>30.145067296006836</v>
      </c>
      <c r="O145" s="530">
        <v>34.571827517792855</v>
      </c>
      <c r="P145" s="530">
        <v>27.294843862995123</v>
      </c>
      <c r="Q145" s="530">
        <v>25.646185355809038</v>
      </c>
      <c r="R145" s="530">
        <v>16.453400765929441</v>
      </c>
      <c r="S145" s="530">
        <v>13.572097330438211</v>
      </c>
      <c r="T145" s="530">
        <v>274.97497519597829</v>
      </c>
      <c r="U145" s="530" t="s">
        <v>61</v>
      </c>
    </row>
    <row r="146" spans="1:21" ht="13.8" x14ac:dyDescent="0.3">
      <c r="A146" s="530" t="str">
        <f t="shared" si="4"/>
        <v>Gwynedd.2013.Vehicle Days.Non-Serviced Accommodation</v>
      </c>
      <c r="B146" s="530" t="s">
        <v>219</v>
      </c>
      <c r="C146" s="530" t="str">
        <f t="shared" si="5"/>
        <v>2013.Vehicle Days.Non-Serviced Accommodation</v>
      </c>
      <c r="D146" s="530" t="s">
        <v>232</v>
      </c>
      <c r="E146" s="530" t="s">
        <v>21</v>
      </c>
      <c r="F146" s="530" t="s">
        <v>48</v>
      </c>
      <c r="G146" s="530" t="s">
        <v>48</v>
      </c>
      <c r="H146" s="530">
        <v>92.920728613401337</v>
      </c>
      <c r="I146" s="530">
        <v>117.32234601638538</v>
      </c>
      <c r="J146" s="530">
        <v>316.92248639408649</v>
      </c>
      <c r="K146" s="530">
        <v>367.17822382570591</v>
      </c>
      <c r="L146" s="530">
        <v>450.24399299778656</v>
      </c>
      <c r="M146" s="530">
        <v>503.10403473544517</v>
      </c>
      <c r="N146" s="530">
        <v>626.85078821069555</v>
      </c>
      <c r="O146" s="530">
        <v>690.59405478197004</v>
      </c>
      <c r="P146" s="530">
        <v>451.78649333130005</v>
      </c>
      <c r="Q146" s="530">
        <v>349.72466092260879</v>
      </c>
      <c r="R146" s="530">
        <v>155.44181492604298</v>
      </c>
      <c r="S146" s="530">
        <v>112.31663533656003</v>
      </c>
      <c r="T146" s="530">
        <v>4234.4062600919888</v>
      </c>
      <c r="U146" s="530" t="s">
        <v>61</v>
      </c>
    </row>
    <row r="147" spans="1:21" ht="13.8" x14ac:dyDescent="0.3">
      <c r="A147" s="530" t="str">
        <f t="shared" si="4"/>
        <v>Gwynedd.2013.Vehicle Days.SFR</v>
      </c>
      <c r="B147" s="530" t="s">
        <v>219</v>
      </c>
      <c r="C147" s="530" t="str">
        <f t="shared" si="5"/>
        <v>2013.Vehicle Days.SFR</v>
      </c>
      <c r="D147" s="530" t="s">
        <v>232</v>
      </c>
      <c r="E147" s="530" t="s">
        <v>21</v>
      </c>
      <c r="F147" s="530" t="s">
        <v>18</v>
      </c>
      <c r="G147" s="530" t="s">
        <v>18</v>
      </c>
      <c r="H147" s="530">
        <v>19.570479545454546</v>
      </c>
      <c r="I147" s="530">
        <v>6.5756811272727251</v>
      </c>
      <c r="J147" s="530">
        <v>7.4802721818181821</v>
      </c>
      <c r="K147" s="530">
        <v>17.848277345454541</v>
      </c>
      <c r="L147" s="530">
        <v>11.481347999999999</v>
      </c>
      <c r="M147" s="530">
        <v>8.8442911161818181</v>
      </c>
      <c r="N147" s="530">
        <v>14.351684999999998</v>
      </c>
      <c r="O147" s="530">
        <v>15.192606761090909</v>
      </c>
      <c r="P147" s="530">
        <v>7.8254258570727266</v>
      </c>
      <c r="Q147" s="530">
        <v>7.8177542290909088</v>
      </c>
      <c r="R147" s="530">
        <v>6.0916379331818158</v>
      </c>
      <c r="S147" s="530">
        <v>17.639525563636361</v>
      </c>
      <c r="T147" s="530">
        <v>140.71898466025453</v>
      </c>
      <c r="U147" s="530" t="s">
        <v>61</v>
      </c>
    </row>
    <row r="148" spans="1:21" ht="13.8" x14ac:dyDescent="0.3">
      <c r="A148" s="530" t="str">
        <f t="shared" si="4"/>
        <v>Gwynedd.2013.Vehicle Days.Day Visitor</v>
      </c>
      <c r="B148" s="530" t="s">
        <v>219</v>
      </c>
      <c r="C148" s="530" t="str">
        <f t="shared" si="5"/>
        <v>2013.Vehicle Days.Day Visitor</v>
      </c>
      <c r="D148" s="530" t="s">
        <v>232</v>
      </c>
      <c r="E148" s="530" t="s">
        <v>21</v>
      </c>
      <c r="F148" s="530" t="s">
        <v>71</v>
      </c>
      <c r="G148" s="530" t="s">
        <v>71</v>
      </c>
      <c r="H148" s="530">
        <v>6.5341794393551922</v>
      </c>
      <c r="I148" s="530">
        <v>21.430982479379423</v>
      </c>
      <c r="J148" s="530">
        <v>59.184996170631891</v>
      </c>
      <c r="K148" s="530">
        <v>88.611611525341303</v>
      </c>
      <c r="L148" s="530">
        <v>83.286226561177457</v>
      </c>
      <c r="M148" s="530">
        <v>128.74222993656164</v>
      </c>
      <c r="N148" s="530">
        <v>103.72406323118601</v>
      </c>
      <c r="O148" s="530">
        <v>128.43611017814297</v>
      </c>
      <c r="P148" s="530">
        <v>58.160281831622065</v>
      </c>
      <c r="Q148" s="530">
        <v>66.205715806710288</v>
      </c>
      <c r="R148" s="530">
        <v>20.026161725034019</v>
      </c>
      <c r="S148" s="530">
        <v>12.427298924936926</v>
      </c>
      <c r="T148" s="530">
        <v>776.76985781007932</v>
      </c>
      <c r="U148" s="530" t="s">
        <v>61</v>
      </c>
    </row>
    <row r="149" spans="1:21" ht="13.8" x14ac:dyDescent="0.3">
      <c r="A149" s="530" t="str">
        <f t="shared" si="4"/>
        <v>Gwynedd.2013.Vehicle Days.Total</v>
      </c>
      <c r="B149" s="530" t="s">
        <v>219</v>
      </c>
      <c r="C149" s="530" t="str">
        <f t="shared" si="5"/>
        <v>2013.Vehicle Days.Total</v>
      </c>
      <c r="D149" s="530" t="s">
        <v>232</v>
      </c>
      <c r="E149" s="530" t="s">
        <v>21</v>
      </c>
      <c r="F149" s="530" t="s">
        <v>54</v>
      </c>
      <c r="G149" s="530" t="s">
        <v>54</v>
      </c>
      <c r="H149" s="530">
        <v>129.13926602417556</v>
      </c>
      <c r="I149" s="530">
        <v>159.77379293436283</v>
      </c>
      <c r="J149" s="530">
        <v>408.13767995564706</v>
      </c>
      <c r="K149" s="530">
        <v>496.38566336843002</v>
      </c>
      <c r="L149" s="530">
        <v>571.08550612278043</v>
      </c>
      <c r="M149" s="530">
        <v>670.05203267305058</v>
      </c>
      <c r="N149" s="530">
        <v>775.07160373788838</v>
      </c>
      <c r="O149" s="530">
        <v>868.79459923899674</v>
      </c>
      <c r="P149" s="530">
        <v>545.06704488298999</v>
      </c>
      <c r="Q149" s="530">
        <v>449.39431631421905</v>
      </c>
      <c r="R149" s="530">
        <v>198.01301535018828</v>
      </c>
      <c r="S149" s="530">
        <v>155.95555715557154</v>
      </c>
      <c r="T149" s="530">
        <v>5426.8700777583008</v>
      </c>
      <c r="U149" s="530" t="s">
        <v>61</v>
      </c>
    </row>
    <row r="150" spans="1:21" ht="13.8" x14ac:dyDescent="0.3">
      <c r="A150" s="530" t="str">
        <f t="shared" si="4"/>
        <v>Gwynedd.2013.Vehicle Numbers.Serviced Accommodation</v>
      </c>
      <c r="B150" s="530" t="s">
        <v>219</v>
      </c>
      <c r="C150" s="530" t="str">
        <f t="shared" si="5"/>
        <v>2013.Vehicle Numbers.Serviced Accommodation</v>
      </c>
      <c r="D150" s="530" t="s">
        <v>232</v>
      </c>
      <c r="E150" s="530" t="s">
        <v>22</v>
      </c>
      <c r="F150" s="530" t="s">
        <v>43</v>
      </c>
      <c r="G150" s="530" t="s">
        <v>43</v>
      </c>
      <c r="H150" s="530">
        <v>6.3108516795967189</v>
      </c>
      <c r="I150" s="530">
        <v>9.7010258645043859</v>
      </c>
      <c r="J150" s="530">
        <v>11.955949736515329</v>
      </c>
      <c r="K150" s="530">
        <v>12.569755539960131</v>
      </c>
      <c r="L150" s="530">
        <v>13.934703057126107</v>
      </c>
      <c r="M150" s="530">
        <v>16.620307389760299</v>
      </c>
      <c r="N150" s="530">
        <v>17.784592914797173</v>
      </c>
      <c r="O150" s="530">
        <v>20.392996878272228</v>
      </c>
      <c r="P150" s="530">
        <v>14.154674810362133</v>
      </c>
      <c r="Q150" s="530">
        <v>14.786908209469773</v>
      </c>
      <c r="R150" s="530">
        <v>9.625479076877264</v>
      </c>
      <c r="S150" s="530">
        <v>8.276292370909605</v>
      </c>
      <c r="T150" s="530">
        <v>156.11353752815117</v>
      </c>
      <c r="U150" s="530" t="s">
        <v>61</v>
      </c>
    </row>
    <row r="151" spans="1:21" ht="13.8" x14ac:dyDescent="0.3">
      <c r="A151" s="530" t="str">
        <f t="shared" si="4"/>
        <v>Gwynedd.2013.Vehicle Numbers.Non-Serviced Accommodation</v>
      </c>
      <c r="B151" s="530" t="s">
        <v>219</v>
      </c>
      <c r="C151" s="530" t="str">
        <f t="shared" si="5"/>
        <v>2013.Vehicle Numbers.Non-Serviced Accommodation</v>
      </c>
      <c r="D151" s="530" t="s">
        <v>232</v>
      </c>
      <c r="E151" s="530" t="s">
        <v>22</v>
      </c>
      <c r="F151" s="530" t="s">
        <v>48</v>
      </c>
      <c r="G151" s="530" t="s">
        <v>48</v>
      </c>
      <c r="H151" s="530">
        <v>27.329626062765101</v>
      </c>
      <c r="I151" s="530">
        <v>29.330586504096345</v>
      </c>
      <c r="J151" s="530">
        <v>66.025517998768009</v>
      </c>
      <c r="K151" s="530">
        <v>57.371597472766545</v>
      </c>
      <c r="L151" s="530">
        <v>65.252752608374863</v>
      </c>
      <c r="M151" s="530">
        <v>71.872004962206447</v>
      </c>
      <c r="N151" s="530">
        <v>88.288843409957138</v>
      </c>
      <c r="O151" s="530">
        <v>90.867638787101313</v>
      </c>
      <c r="P151" s="530">
        <v>65.476303381347833</v>
      </c>
      <c r="Q151" s="530">
        <v>49.960665846086968</v>
      </c>
      <c r="R151" s="530">
        <v>34.542625539120664</v>
      </c>
      <c r="S151" s="530">
        <v>20.05654202438572</v>
      </c>
      <c r="T151" s="530">
        <v>666.37470459697704</v>
      </c>
      <c r="U151" s="530" t="s">
        <v>61</v>
      </c>
    </row>
    <row r="152" spans="1:21" ht="13.8" x14ac:dyDescent="0.3">
      <c r="A152" s="530" t="str">
        <f t="shared" si="4"/>
        <v>Gwynedd.2013.Vehicle Numbers.SFR</v>
      </c>
      <c r="B152" s="530" t="s">
        <v>219</v>
      </c>
      <c r="C152" s="530" t="str">
        <f t="shared" si="5"/>
        <v>2013.Vehicle Numbers.SFR</v>
      </c>
      <c r="D152" s="530" t="s">
        <v>232</v>
      </c>
      <c r="E152" s="530" t="s">
        <v>22</v>
      </c>
      <c r="F152" s="530" t="s">
        <v>18</v>
      </c>
      <c r="G152" s="530" t="s">
        <v>18</v>
      </c>
      <c r="H152" s="530">
        <v>7.8281918181818178</v>
      </c>
      <c r="I152" s="530">
        <v>3.1312767272727262</v>
      </c>
      <c r="J152" s="530">
        <v>3.4791963636363641</v>
      </c>
      <c r="K152" s="530">
        <v>6.6104730909090899</v>
      </c>
      <c r="L152" s="530">
        <v>5.2187945454545455</v>
      </c>
      <c r="M152" s="530">
        <v>4.2115671981818181</v>
      </c>
      <c r="N152" s="530">
        <v>5.7406739999999994</v>
      </c>
      <c r="O152" s="530">
        <v>5.8433102927272724</v>
      </c>
      <c r="P152" s="530">
        <v>3.6061870309090907</v>
      </c>
      <c r="Q152" s="530">
        <v>3.6531561818181815</v>
      </c>
      <c r="R152" s="530">
        <v>3.0008068636363632</v>
      </c>
      <c r="S152" s="530">
        <v>6.7844329090909081</v>
      </c>
      <c r="T152" s="530">
        <v>59.108067021818187</v>
      </c>
      <c r="U152" s="530" t="s">
        <v>61</v>
      </c>
    </row>
    <row r="153" spans="1:21" ht="13.8" x14ac:dyDescent="0.3">
      <c r="A153" s="530" t="str">
        <f t="shared" si="4"/>
        <v>Gwynedd.2013.Vehicle Numbers.Day Visitor</v>
      </c>
      <c r="B153" s="530" t="s">
        <v>219</v>
      </c>
      <c r="C153" s="530" t="str">
        <f t="shared" si="5"/>
        <v>2013.Vehicle Numbers.Day Visitor</v>
      </c>
      <c r="D153" s="530" t="s">
        <v>232</v>
      </c>
      <c r="E153" s="530" t="s">
        <v>22</v>
      </c>
      <c r="F153" s="530" t="s">
        <v>71</v>
      </c>
      <c r="G153" s="530" t="s">
        <v>71</v>
      </c>
      <c r="H153" s="530">
        <v>6.5341794393551922</v>
      </c>
      <c r="I153" s="530">
        <v>21.430982479379423</v>
      </c>
      <c r="J153" s="530">
        <v>59.184996170631891</v>
      </c>
      <c r="K153" s="530">
        <v>88.611611525341303</v>
      </c>
      <c r="L153" s="530">
        <v>83.286226561177457</v>
      </c>
      <c r="M153" s="530">
        <v>128.74222993656164</v>
      </c>
      <c r="N153" s="530">
        <v>103.72406323118601</v>
      </c>
      <c r="O153" s="530">
        <v>128.43611017814297</v>
      </c>
      <c r="P153" s="530">
        <v>58.160281831622065</v>
      </c>
      <c r="Q153" s="530">
        <v>66.205715806710288</v>
      </c>
      <c r="R153" s="530">
        <v>20.026161725034019</v>
      </c>
      <c r="S153" s="530">
        <v>12.427298924936926</v>
      </c>
      <c r="T153" s="530">
        <v>776.76985781007932</v>
      </c>
      <c r="U153" s="530" t="s">
        <v>61</v>
      </c>
    </row>
    <row r="154" spans="1:21" ht="13.8" x14ac:dyDescent="0.3">
      <c r="A154" s="530" t="str">
        <f t="shared" si="4"/>
        <v>Gwynedd.2013.Vehicle Numbers.Total</v>
      </c>
      <c r="B154" s="530" t="s">
        <v>219</v>
      </c>
      <c r="C154" s="530" t="str">
        <f t="shared" si="5"/>
        <v>2013.Vehicle Numbers.Total</v>
      </c>
      <c r="D154" s="530" t="s">
        <v>232</v>
      </c>
      <c r="E154" s="530" t="s">
        <v>22</v>
      </c>
      <c r="F154" s="530" t="s">
        <v>54</v>
      </c>
      <c r="G154" s="530" t="s">
        <v>54</v>
      </c>
      <c r="H154" s="530">
        <v>48.002848999898823</v>
      </c>
      <c r="I154" s="530">
        <v>63.593871575252884</v>
      </c>
      <c r="J154" s="530">
        <v>140.64566026955157</v>
      </c>
      <c r="K154" s="530">
        <v>165.16343762897708</v>
      </c>
      <c r="L154" s="530">
        <v>167.69247677213298</v>
      </c>
      <c r="M154" s="530">
        <v>221.44610948671021</v>
      </c>
      <c r="N154" s="530">
        <v>215.53817355594032</v>
      </c>
      <c r="O154" s="530">
        <v>245.54005613624378</v>
      </c>
      <c r="P154" s="530">
        <v>141.39744705424113</v>
      </c>
      <c r="Q154" s="530">
        <v>134.6064460440852</v>
      </c>
      <c r="R154" s="530">
        <v>67.195073204668304</v>
      </c>
      <c r="S154" s="530">
        <v>47.544566229323159</v>
      </c>
      <c r="T154" s="530">
        <v>1658.3661669570256</v>
      </c>
      <c r="U154" s="530" t="s">
        <v>61</v>
      </c>
    </row>
    <row r="155" spans="1:21" ht="13.8" x14ac:dyDescent="0.3">
      <c r="A155" s="530" t="str">
        <f t="shared" si="4"/>
        <v>Gwynedd.2013.Accommodation.Serviced Accommodation</v>
      </c>
      <c r="B155" s="530" t="s">
        <v>219</v>
      </c>
      <c r="C155" s="530" t="str">
        <f t="shared" si="5"/>
        <v>2013.Accommodation.Serviced Accommodation</v>
      </c>
      <c r="D155" s="530" t="s">
        <v>232</v>
      </c>
      <c r="E155" s="530" t="s">
        <v>23</v>
      </c>
      <c r="F155" s="530" t="s">
        <v>43</v>
      </c>
      <c r="G155" s="530" t="s">
        <v>43</v>
      </c>
      <c r="H155" s="530">
        <v>5534</v>
      </c>
      <c r="I155" s="530">
        <v>5706</v>
      </c>
      <c r="J155" s="530">
        <v>6056</v>
      </c>
      <c r="K155" s="530">
        <v>6178</v>
      </c>
      <c r="L155" s="530">
        <v>6185</v>
      </c>
      <c r="M155" s="530">
        <v>6185</v>
      </c>
      <c r="N155" s="530">
        <v>6185</v>
      </c>
      <c r="O155" s="530">
        <v>6185</v>
      </c>
      <c r="P155" s="530">
        <v>6181</v>
      </c>
      <c r="Q155" s="530">
        <v>6145</v>
      </c>
      <c r="R155" s="530">
        <v>5846</v>
      </c>
      <c r="S155" s="530">
        <v>5742</v>
      </c>
      <c r="T155" s="530">
        <v>6185</v>
      </c>
      <c r="U155" s="530" t="s">
        <v>58</v>
      </c>
    </row>
    <row r="156" spans="1:21" ht="13.8" x14ac:dyDescent="0.3">
      <c r="A156" s="530" t="str">
        <f t="shared" si="4"/>
        <v>Gwynedd.2013.Accommodation.Non-Serviced Accommodation</v>
      </c>
      <c r="B156" s="530" t="s">
        <v>219</v>
      </c>
      <c r="C156" s="530" t="str">
        <f t="shared" si="5"/>
        <v>2013.Accommodation.Non-Serviced Accommodation</v>
      </c>
      <c r="D156" s="530" t="s">
        <v>232</v>
      </c>
      <c r="E156" s="530" t="s">
        <v>23</v>
      </c>
      <c r="F156" s="530" t="s">
        <v>48</v>
      </c>
      <c r="G156" s="530" t="s">
        <v>48</v>
      </c>
      <c r="H156" s="530">
        <v>44912</v>
      </c>
      <c r="I156" s="530">
        <v>45290</v>
      </c>
      <c r="J156" s="530">
        <v>87580</v>
      </c>
      <c r="K156" s="530">
        <v>97953</v>
      </c>
      <c r="L156" s="530">
        <v>98095</v>
      </c>
      <c r="M156" s="530">
        <v>98107</v>
      </c>
      <c r="N156" s="530">
        <v>98107</v>
      </c>
      <c r="O156" s="530">
        <v>98107</v>
      </c>
      <c r="P156" s="530">
        <v>98067</v>
      </c>
      <c r="Q156" s="530">
        <v>96493</v>
      </c>
      <c r="R156" s="530">
        <v>63897</v>
      </c>
      <c r="S156" s="530">
        <v>55691</v>
      </c>
      <c r="T156" s="530">
        <v>98107</v>
      </c>
      <c r="U156" s="530" t="s">
        <v>58</v>
      </c>
    </row>
    <row r="157" spans="1:21" ht="13.8" x14ac:dyDescent="0.3">
      <c r="A157" s="530" t="str">
        <f t="shared" si="4"/>
        <v>Gwynedd.2013.Accommodation.Total</v>
      </c>
      <c r="B157" s="530" t="s">
        <v>219</v>
      </c>
      <c r="C157" s="530" t="str">
        <f t="shared" si="5"/>
        <v>2013.Accommodation.Total</v>
      </c>
      <c r="D157" s="530" t="s">
        <v>232</v>
      </c>
      <c r="E157" s="530" t="s">
        <v>23</v>
      </c>
      <c r="F157" s="530" t="s">
        <v>54</v>
      </c>
      <c r="G157" s="530" t="s">
        <v>54</v>
      </c>
      <c r="H157" s="530">
        <v>50446</v>
      </c>
      <c r="I157" s="530">
        <v>50996</v>
      </c>
      <c r="J157" s="530">
        <v>93636</v>
      </c>
      <c r="K157" s="530">
        <v>104131</v>
      </c>
      <c r="L157" s="530">
        <v>104280</v>
      </c>
      <c r="M157" s="530">
        <v>104292</v>
      </c>
      <c r="N157" s="530">
        <v>104292</v>
      </c>
      <c r="O157" s="530">
        <v>104292</v>
      </c>
      <c r="P157" s="530">
        <v>104248</v>
      </c>
      <c r="Q157" s="530">
        <v>102638</v>
      </c>
      <c r="R157" s="530">
        <v>69743</v>
      </c>
      <c r="S157" s="530">
        <v>61433</v>
      </c>
      <c r="T157" s="530">
        <v>104292</v>
      </c>
      <c r="U157" s="530" t="s">
        <v>58</v>
      </c>
    </row>
    <row r="158" spans="1:21" ht="13.8" x14ac:dyDescent="0.3">
      <c r="A158" s="530" t="str">
        <f t="shared" si="4"/>
        <v>Gwynedd.2013.Economic Impact.Total</v>
      </c>
      <c r="B158" s="530" t="s">
        <v>219</v>
      </c>
      <c r="C158" s="530" t="str">
        <f t="shared" si="5"/>
        <v>2013.Economic Impact.Total</v>
      </c>
      <c r="D158" s="530" t="s">
        <v>232</v>
      </c>
      <c r="E158" s="530" t="s">
        <v>17</v>
      </c>
      <c r="F158" s="530" t="s">
        <v>54</v>
      </c>
      <c r="G158" s="530" t="s">
        <v>54</v>
      </c>
      <c r="H158" s="530">
        <v>20664.568346429558</v>
      </c>
      <c r="I158" s="530">
        <v>24869.10298506925</v>
      </c>
      <c r="J158" s="530">
        <v>64342.445186839308</v>
      </c>
      <c r="K158" s="530">
        <v>81981.022623897996</v>
      </c>
      <c r="L158" s="530">
        <v>90618.273678536003</v>
      </c>
      <c r="M158" s="530">
        <v>105900.91423144672</v>
      </c>
      <c r="N158" s="530">
        <v>136705.81291157054</v>
      </c>
      <c r="O158" s="530">
        <v>156865.5219025744</v>
      </c>
      <c r="P158" s="530">
        <v>99606.94498564089</v>
      </c>
      <c r="Q158" s="530">
        <v>71635.144438809162</v>
      </c>
      <c r="R158" s="530">
        <v>31673.540745267979</v>
      </c>
      <c r="S158" s="530">
        <v>26936.175951590809</v>
      </c>
      <c r="T158" s="530">
        <v>911799.46798767266</v>
      </c>
      <c r="U158" s="530" t="s">
        <v>57</v>
      </c>
    </row>
    <row r="159" spans="1:21" ht="13.8" x14ac:dyDescent="0.3">
      <c r="A159" s="530" t="str">
        <f t="shared" si="4"/>
        <v>Gwynedd.2014.Economic Impact.Indirect Expenditure</v>
      </c>
      <c r="B159" s="530" t="s">
        <v>219</v>
      </c>
      <c r="C159" s="530" t="str">
        <f t="shared" si="5"/>
        <v>2014.Economic Impact.Indirect Expenditure</v>
      </c>
      <c r="D159" s="530" t="s">
        <v>233</v>
      </c>
      <c r="E159" s="530" t="s">
        <v>17</v>
      </c>
      <c r="F159" s="530" t="s">
        <v>45</v>
      </c>
      <c r="G159" s="530" t="s">
        <v>45</v>
      </c>
      <c r="H159" s="530">
        <v>5267.8749059773891</v>
      </c>
      <c r="I159" s="530">
        <v>7879.935280865524</v>
      </c>
      <c r="J159" s="530">
        <v>19797.957322372466</v>
      </c>
      <c r="K159" s="530">
        <v>22813.197925480668</v>
      </c>
      <c r="L159" s="530">
        <v>25100.879258920904</v>
      </c>
      <c r="M159" s="530">
        <v>27600.777202236051</v>
      </c>
      <c r="N159" s="530">
        <v>37412.788194965535</v>
      </c>
      <c r="O159" s="530">
        <v>42697.077600937497</v>
      </c>
      <c r="P159" s="530">
        <v>27278.564012527779</v>
      </c>
      <c r="Q159" s="530">
        <v>18727.376042535201</v>
      </c>
      <c r="R159" s="530">
        <v>7732.2943282441229</v>
      </c>
      <c r="S159" s="530">
        <v>8864.9126512994135</v>
      </c>
      <c r="T159" s="530">
        <v>251173.63472636256</v>
      </c>
      <c r="U159" s="530" t="s">
        <v>57</v>
      </c>
    </row>
    <row r="160" spans="1:21" ht="13.8" x14ac:dyDescent="0.3">
      <c r="A160" s="530" t="str">
        <f t="shared" si="4"/>
        <v>Gwynedd.2014.Economic Impact.Direct Revenue</v>
      </c>
      <c r="B160" s="530" t="s">
        <v>219</v>
      </c>
      <c r="C160" s="530" t="str">
        <f t="shared" si="5"/>
        <v>2014.Economic Impact.Direct Revenue</v>
      </c>
      <c r="D160" s="530" t="s">
        <v>233</v>
      </c>
      <c r="E160" s="530" t="s">
        <v>17</v>
      </c>
      <c r="F160" s="530" t="s">
        <v>46</v>
      </c>
      <c r="G160" s="530" t="s">
        <v>46</v>
      </c>
      <c r="H160" s="530">
        <v>12525.599582482004</v>
      </c>
      <c r="I160" s="530">
        <v>18637.011614202278</v>
      </c>
      <c r="J160" s="530">
        <v>48158.100756792141</v>
      </c>
      <c r="K160" s="530">
        <v>54646.453565600481</v>
      </c>
      <c r="L160" s="530">
        <v>60553.321104810151</v>
      </c>
      <c r="M160" s="530">
        <v>66716.60065183611</v>
      </c>
      <c r="N160" s="530">
        <v>90278.581868329158</v>
      </c>
      <c r="O160" s="530">
        <v>103043.24595253998</v>
      </c>
      <c r="P160" s="530">
        <v>65505.239982842853</v>
      </c>
      <c r="Q160" s="530">
        <v>44721.264965624563</v>
      </c>
      <c r="R160" s="530">
        <v>18631.69046939534</v>
      </c>
      <c r="S160" s="530">
        <v>19999.334900312693</v>
      </c>
      <c r="T160" s="530">
        <v>603416.44541476783</v>
      </c>
      <c r="U160" s="530" t="s">
        <v>57</v>
      </c>
    </row>
    <row r="161" spans="1:21" ht="13.8" x14ac:dyDescent="0.3">
      <c r="A161" s="530" t="str">
        <f t="shared" si="4"/>
        <v>Gwynedd.2014.Economic Impact.VAT</v>
      </c>
      <c r="B161" s="530" t="s">
        <v>219</v>
      </c>
      <c r="C161" s="530" t="str">
        <f t="shared" si="5"/>
        <v>2014.Economic Impact.VAT</v>
      </c>
      <c r="D161" s="530" t="s">
        <v>233</v>
      </c>
      <c r="E161" s="530" t="s">
        <v>17</v>
      </c>
      <c r="F161" s="530" t="s">
        <v>47</v>
      </c>
      <c r="G161" s="530" t="s">
        <v>47</v>
      </c>
      <c r="H161" s="530">
        <v>2505.1199164964009</v>
      </c>
      <c r="I161" s="530">
        <v>3727.4023228404553</v>
      </c>
      <c r="J161" s="530">
        <v>9631.6201513584274</v>
      </c>
      <c r="K161" s="530">
        <v>10929.290713120097</v>
      </c>
      <c r="L161" s="530">
        <v>12110.66422096203</v>
      </c>
      <c r="M161" s="530">
        <v>13343.320130367221</v>
      </c>
      <c r="N161" s="530">
        <v>18055.716373665829</v>
      </c>
      <c r="O161" s="530">
        <v>20608.649190508</v>
      </c>
      <c r="P161" s="530">
        <v>13101.047996568574</v>
      </c>
      <c r="Q161" s="530">
        <v>8944.2529931249155</v>
      </c>
      <c r="R161" s="530">
        <v>3726.3380938790688</v>
      </c>
      <c r="S161" s="530">
        <v>3999.8669800625385</v>
      </c>
      <c r="T161" s="530">
        <v>120683.28908295355</v>
      </c>
      <c r="U161" s="530" t="s">
        <v>57</v>
      </c>
    </row>
    <row r="162" spans="1:21" ht="13.8" x14ac:dyDescent="0.3">
      <c r="A162" s="530" t="str">
        <f t="shared" si="4"/>
        <v>Gwynedd.2014.Economic Impact.Serviced Accommodation</v>
      </c>
      <c r="B162" s="530" t="s">
        <v>219</v>
      </c>
      <c r="C162" s="530" t="str">
        <f t="shared" si="5"/>
        <v>2014.Economic Impact.Serviced Accommodation</v>
      </c>
      <c r="D162" s="530" t="s">
        <v>233</v>
      </c>
      <c r="E162" s="530" t="s">
        <v>17</v>
      </c>
      <c r="F162" s="530" t="s">
        <v>43</v>
      </c>
      <c r="G162" s="530" t="s">
        <v>43</v>
      </c>
      <c r="H162" s="530">
        <v>2093.6743180627068</v>
      </c>
      <c r="I162" s="530">
        <v>2608.4459649528017</v>
      </c>
      <c r="J162" s="530">
        <v>3946.452542001874</v>
      </c>
      <c r="K162" s="530">
        <v>6126.8315607841059</v>
      </c>
      <c r="L162" s="530">
        <v>7608.9577243220574</v>
      </c>
      <c r="M162" s="530">
        <v>8140.4998608262631</v>
      </c>
      <c r="N162" s="530">
        <v>12978.212910544438</v>
      </c>
      <c r="O162" s="530">
        <v>14567.689040726438</v>
      </c>
      <c r="P162" s="530">
        <v>12008.684336300885</v>
      </c>
      <c r="Q162" s="530">
        <v>5761.5406848912344</v>
      </c>
      <c r="R162" s="530">
        <v>3520.0895776921111</v>
      </c>
      <c r="S162" s="530">
        <v>2676.2913920552282</v>
      </c>
      <c r="T162" s="530">
        <v>82037.369913160146</v>
      </c>
      <c r="U162" s="530" t="s">
        <v>57</v>
      </c>
    </row>
    <row r="163" spans="1:21" ht="13.8" x14ac:dyDescent="0.3">
      <c r="A163" s="530" t="str">
        <f t="shared" si="4"/>
        <v>Gwynedd.2014.Economic Impact.Non-Serviced Accommodation</v>
      </c>
      <c r="B163" s="530" t="s">
        <v>219</v>
      </c>
      <c r="C163" s="530" t="str">
        <f t="shared" si="5"/>
        <v>2014.Economic Impact.Non-Serviced Accommodation</v>
      </c>
      <c r="D163" s="530" t="s">
        <v>233</v>
      </c>
      <c r="E163" s="530" t="s">
        <v>17</v>
      </c>
      <c r="F163" s="530" t="s">
        <v>48</v>
      </c>
      <c r="G163" s="530" t="s">
        <v>48</v>
      </c>
      <c r="H163" s="530">
        <v>14947.120924812989</v>
      </c>
      <c r="I163" s="530">
        <v>22873.223559512895</v>
      </c>
      <c r="J163" s="530">
        <v>61386.558000799727</v>
      </c>
      <c r="K163" s="530">
        <v>61922.461510371366</v>
      </c>
      <c r="L163" s="530">
        <v>71816.81872406826</v>
      </c>
      <c r="M163" s="530">
        <v>75842.470593427133</v>
      </c>
      <c r="N163" s="530">
        <v>111313.33642340616</v>
      </c>
      <c r="O163" s="530">
        <v>123980.29369019203</v>
      </c>
      <c r="P163" s="530">
        <v>80536.204516192898</v>
      </c>
      <c r="Q163" s="530">
        <v>53387.843111023278</v>
      </c>
      <c r="R163" s="530">
        <v>22387.343043197689</v>
      </c>
      <c r="S163" s="530">
        <v>25951.003429274511</v>
      </c>
      <c r="T163" s="530">
        <v>726344.67752627889</v>
      </c>
      <c r="U163" s="530" t="s">
        <v>57</v>
      </c>
    </row>
    <row r="164" spans="1:21" ht="13.8" x14ac:dyDescent="0.3">
      <c r="A164" s="530" t="str">
        <f t="shared" si="4"/>
        <v>Gwynedd.2014.Economic Impact.SFR</v>
      </c>
      <c r="B164" s="530" t="s">
        <v>219</v>
      </c>
      <c r="C164" s="530" t="str">
        <f t="shared" si="5"/>
        <v>2014.Economic Impact.SFR</v>
      </c>
      <c r="D164" s="530" t="s">
        <v>233</v>
      </c>
      <c r="E164" s="530" t="s">
        <v>17</v>
      </c>
      <c r="F164" s="530" t="s">
        <v>18</v>
      </c>
      <c r="G164" s="530" t="s">
        <v>18</v>
      </c>
      <c r="H164" s="530">
        <v>1949.9358776802701</v>
      </c>
      <c r="I164" s="530">
        <v>655.17845490057061</v>
      </c>
      <c r="J164" s="530">
        <v>745.3088243577921</v>
      </c>
      <c r="K164" s="530">
        <v>1778.3415204444061</v>
      </c>
      <c r="L164" s="530">
        <v>1143.9623815724251</v>
      </c>
      <c r="M164" s="530">
        <v>881.2150218412678</v>
      </c>
      <c r="N164" s="530">
        <v>1429.952976965531</v>
      </c>
      <c r="O164" s="530">
        <v>1513.7395550340327</v>
      </c>
      <c r="P164" s="530">
        <v>779.69876013472924</v>
      </c>
      <c r="Q164" s="530">
        <v>778.93438527067838</v>
      </c>
      <c r="R164" s="530">
        <v>606.95004085927837</v>
      </c>
      <c r="S164" s="530">
        <v>1757.5422044158167</v>
      </c>
      <c r="T164" s="530">
        <v>14020.7600034768</v>
      </c>
      <c r="U164" s="530" t="s">
        <v>57</v>
      </c>
    </row>
    <row r="165" spans="1:21" ht="13.8" x14ac:dyDescent="0.3">
      <c r="A165" s="530" t="str">
        <f t="shared" si="4"/>
        <v>Gwynedd.2014.Economic Impact.Day Visitor</v>
      </c>
      <c r="B165" s="530" t="s">
        <v>219</v>
      </c>
      <c r="C165" s="530" t="str">
        <f t="shared" si="5"/>
        <v>2014.Economic Impact.Day Visitor</v>
      </c>
      <c r="D165" s="530" t="s">
        <v>233</v>
      </c>
      <c r="E165" s="530" t="s">
        <v>17</v>
      </c>
      <c r="F165" s="530" t="s">
        <v>71</v>
      </c>
      <c r="G165" s="530" t="s">
        <v>71</v>
      </c>
      <c r="H165" s="530">
        <v>1307.8632843998269</v>
      </c>
      <c r="I165" s="530">
        <v>4107.5012385419859</v>
      </c>
      <c r="J165" s="530">
        <v>11509.358863363634</v>
      </c>
      <c r="K165" s="530">
        <v>18561.307612601373</v>
      </c>
      <c r="L165" s="530">
        <v>17195.125754730343</v>
      </c>
      <c r="M165" s="530">
        <v>22796.512508344713</v>
      </c>
      <c r="N165" s="530">
        <v>20025.584126044381</v>
      </c>
      <c r="O165" s="530">
        <v>26287.250458032981</v>
      </c>
      <c r="P165" s="530">
        <v>12560.264379310687</v>
      </c>
      <c r="Q165" s="530">
        <v>12464.57582009949</v>
      </c>
      <c r="R165" s="530">
        <v>3575.9402297694533</v>
      </c>
      <c r="S165" s="530">
        <v>2479.2775059290884</v>
      </c>
      <c r="T165" s="530">
        <v>152870.56178116795</v>
      </c>
      <c r="U165" s="530" t="s">
        <v>57</v>
      </c>
    </row>
    <row r="166" spans="1:21" ht="13.8" x14ac:dyDescent="0.3">
      <c r="A166" s="530" t="str">
        <f t="shared" si="4"/>
        <v>Gwynedd.2014.Economic Impact.Accommodation</v>
      </c>
      <c r="B166" s="530" t="s">
        <v>219</v>
      </c>
      <c r="C166" s="530" t="str">
        <f t="shared" si="5"/>
        <v>2014.Economic Impact.Accommodation</v>
      </c>
      <c r="D166" s="530" t="s">
        <v>233</v>
      </c>
      <c r="E166" s="530" t="s">
        <v>17</v>
      </c>
      <c r="F166" s="530" t="s">
        <v>23</v>
      </c>
      <c r="G166" s="530" t="s">
        <v>23</v>
      </c>
      <c r="H166" s="530">
        <v>2535.8564349018811</v>
      </c>
      <c r="I166" s="530">
        <v>3766.5442241033802</v>
      </c>
      <c r="J166" s="530">
        <v>7599.6591172708168</v>
      </c>
      <c r="K166" s="530">
        <v>8213.878694666595</v>
      </c>
      <c r="L166" s="530">
        <v>9223.4660849869579</v>
      </c>
      <c r="M166" s="530">
        <v>10397.17477042614</v>
      </c>
      <c r="N166" s="530">
        <v>21069.304727813338</v>
      </c>
      <c r="O166" s="530">
        <v>24021.559449123317</v>
      </c>
      <c r="P166" s="530">
        <v>18396.283609220245</v>
      </c>
      <c r="Q166" s="530">
        <v>7104.4987124769723</v>
      </c>
      <c r="R166" s="530">
        <v>3642.2522094771057</v>
      </c>
      <c r="S166" s="530">
        <v>4700.7101748103523</v>
      </c>
      <c r="T166" s="530">
        <v>120671.18820927711</v>
      </c>
      <c r="U166" s="530" t="s">
        <v>57</v>
      </c>
    </row>
    <row r="167" spans="1:21" ht="13.8" x14ac:dyDescent="0.3">
      <c r="A167" s="530" t="str">
        <f t="shared" si="4"/>
        <v>Gwynedd.2014.Economic Impact.Food &amp; Drink</v>
      </c>
      <c r="B167" s="530" t="s">
        <v>219</v>
      </c>
      <c r="C167" s="530" t="str">
        <f t="shared" si="5"/>
        <v>2014.Economic Impact.Food &amp; Drink</v>
      </c>
      <c r="D167" s="530" t="s">
        <v>233</v>
      </c>
      <c r="E167" s="530" t="s">
        <v>17</v>
      </c>
      <c r="F167" s="530" t="s">
        <v>49</v>
      </c>
      <c r="G167" s="530" t="s">
        <v>49</v>
      </c>
      <c r="H167" s="530">
        <v>3472.5336201971295</v>
      </c>
      <c r="I167" s="530">
        <v>4659.3696461165373</v>
      </c>
      <c r="J167" s="530">
        <v>12623.216774331293</v>
      </c>
      <c r="K167" s="530">
        <v>14370.479046501017</v>
      </c>
      <c r="L167" s="530">
        <v>16145.20314140528</v>
      </c>
      <c r="M167" s="530">
        <v>17533.56142601703</v>
      </c>
      <c r="N167" s="530">
        <v>21985.407769076384</v>
      </c>
      <c r="O167" s="530">
        <v>24800.695955303898</v>
      </c>
      <c r="P167" s="530">
        <v>15152.500263556492</v>
      </c>
      <c r="Q167" s="530">
        <v>11963.396525925016</v>
      </c>
      <c r="R167" s="530">
        <v>4986.376658789085</v>
      </c>
      <c r="S167" s="530">
        <v>4914.2111318034313</v>
      </c>
      <c r="T167" s="530">
        <v>152606.95195902258</v>
      </c>
      <c r="U167" s="530" t="s">
        <v>57</v>
      </c>
    </row>
    <row r="168" spans="1:21" ht="13.8" x14ac:dyDescent="0.3">
      <c r="A168" s="530" t="str">
        <f t="shared" si="4"/>
        <v>Gwynedd.2014.Economic Impact.Recreation</v>
      </c>
      <c r="B168" s="530" t="s">
        <v>219</v>
      </c>
      <c r="C168" s="530" t="str">
        <f t="shared" si="5"/>
        <v>2014.Economic Impact.Recreation</v>
      </c>
      <c r="D168" s="530" t="s">
        <v>233</v>
      </c>
      <c r="E168" s="530" t="s">
        <v>17</v>
      </c>
      <c r="F168" s="530" t="s">
        <v>50</v>
      </c>
      <c r="G168" s="530" t="s">
        <v>50</v>
      </c>
      <c r="H168" s="530">
        <v>912.06239949379426</v>
      </c>
      <c r="I168" s="530">
        <v>1708.2328359685498</v>
      </c>
      <c r="J168" s="530">
        <v>5272.7808644837605</v>
      </c>
      <c r="K168" s="530">
        <v>5041.0889402322337</v>
      </c>
      <c r="L168" s="530">
        <v>5744.9656660136352</v>
      </c>
      <c r="M168" s="530">
        <v>6313.0575255208687</v>
      </c>
      <c r="N168" s="530">
        <v>8036.5647952303416</v>
      </c>
      <c r="O168" s="530">
        <v>9190.2434629826221</v>
      </c>
      <c r="P168" s="530">
        <v>5351.9880991100399</v>
      </c>
      <c r="Q168" s="530">
        <v>3892.2326742335617</v>
      </c>
      <c r="R168" s="530">
        <v>1482.0367547362753</v>
      </c>
      <c r="S168" s="530">
        <v>1485.8687834648013</v>
      </c>
      <c r="T168" s="530">
        <v>54431.122801470483</v>
      </c>
      <c r="U168" s="530" t="s">
        <v>57</v>
      </c>
    </row>
    <row r="169" spans="1:21" ht="13.8" x14ac:dyDescent="0.3">
      <c r="A169" s="530" t="str">
        <f t="shared" si="4"/>
        <v>Gwynedd.2014.Economic Impact.Shopping</v>
      </c>
      <c r="B169" s="530" t="s">
        <v>219</v>
      </c>
      <c r="C169" s="530" t="str">
        <f t="shared" si="5"/>
        <v>2014.Economic Impact.Shopping</v>
      </c>
      <c r="D169" s="530" t="s">
        <v>233</v>
      </c>
      <c r="E169" s="530" t="s">
        <v>17</v>
      </c>
      <c r="F169" s="530" t="s">
        <v>51</v>
      </c>
      <c r="G169" s="530" t="s">
        <v>51</v>
      </c>
      <c r="H169" s="530">
        <v>4197.5314709921531</v>
      </c>
      <c r="I169" s="530">
        <v>6285.9366005752454</v>
      </c>
      <c r="J169" s="530">
        <v>16352.214309723968</v>
      </c>
      <c r="K169" s="530">
        <v>20128.288662030442</v>
      </c>
      <c r="L169" s="530">
        <v>21710.547171176611</v>
      </c>
      <c r="M169" s="530">
        <v>24053.852436773315</v>
      </c>
      <c r="N169" s="530">
        <v>28644.543516431422</v>
      </c>
      <c r="O169" s="530">
        <v>33028.662875736773</v>
      </c>
      <c r="P169" s="530">
        <v>19502.043282197534</v>
      </c>
      <c r="Q169" s="530">
        <v>16195.692024783484</v>
      </c>
      <c r="R169" s="530">
        <v>6324.603313645468</v>
      </c>
      <c r="S169" s="530">
        <v>6733.2623974001854</v>
      </c>
      <c r="T169" s="530">
        <v>203157.17806146661</v>
      </c>
      <c r="U169" s="530" t="s">
        <v>57</v>
      </c>
    </row>
    <row r="170" spans="1:21" ht="13.8" x14ac:dyDescent="0.3">
      <c r="A170" s="530" t="str">
        <f t="shared" si="4"/>
        <v>Gwynedd.2014.Economic Impact.Transport</v>
      </c>
      <c r="B170" s="530" t="s">
        <v>219</v>
      </c>
      <c r="C170" s="530" t="str">
        <f t="shared" si="5"/>
        <v>2014.Economic Impact.Transport</v>
      </c>
      <c r="D170" s="530" t="s">
        <v>233</v>
      </c>
      <c r="E170" s="530" t="s">
        <v>17</v>
      </c>
      <c r="F170" s="530" t="s">
        <v>52</v>
      </c>
      <c r="G170" s="530" t="s">
        <v>52</v>
      </c>
      <c r="H170" s="530">
        <v>1407.6156568970462</v>
      </c>
      <c r="I170" s="530">
        <v>2216.9283074385639</v>
      </c>
      <c r="J170" s="530">
        <v>6310.2296909822962</v>
      </c>
      <c r="K170" s="530">
        <v>6892.7182221701942</v>
      </c>
      <c r="L170" s="530">
        <v>7729.1390412276651</v>
      </c>
      <c r="M170" s="530">
        <v>8418.9544930987558</v>
      </c>
      <c r="N170" s="530">
        <v>10542.761059777666</v>
      </c>
      <c r="O170" s="530">
        <v>12002.084209393377</v>
      </c>
      <c r="P170" s="530">
        <v>7102.4247287585458</v>
      </c>
      <c r="Q170" s="530">
        <v>5565.4450282055359</v>
      </c>
      <c r="R170" s="530">
        <v>2196.421532747408</v>
      </c>
      <c r="S170" s="530">
        <v>2165.2824128339225</v>
      </c>
      <c r="T170" s="530">
        <v>72550.004383530977</v>
      </c>
      <c r="U170" s="530" t="s">
        <v>57</v>
      </c>
    </row>
    <row r="171" spans="1:21" ht="13.8" x14ac:dyDescent="0.3">
      <c r="A171" s="530" t="str">
        <f t="shared" si="4"/>
        <v>Gwynedd.2014.Economic Impact.Direct Expenditure</v>
      </c>
      <c r="B171" s="530" t="s">
        <v>219</v>
      </c>
      <c r="C171" s="530" t="str">
        <f t="shared" si="5"/>
        <v>2014.Economic Impact.Direct Expenditure</v>
      </c>
      <c r="D171" s="530" t="s">
        <v>233</v>
      </c>
      <c r="E171" s="530" t="s">
        <v>17</v>
      </c>
      <c r="F171" s="530" t="s">
        <v>44</v>
      </c>
      <c r="G171" s="530" t="s">
        <v>44</v>
      </c>
      <c r="H171" s="530">
        <v>15030.719498978404</v>
      </c>
      <c r="I171" s="530">
        <v>22364.413937042733</v>
      </c>
      <c r="J171" s="530">
        <v>57789.720908150564</v>
      </c>
      <c r="K171" s="530">
        <v>65575.74427872058</v>
      </c>
      <c r="L171" s="530">
        <v>72663.985325772184</v>
      </c>
      <c r="M171" s="530">
        <v>80059.920782203335</v>
      </c>
      <c r="N171" s="530">
        <v>108334.29824199497</v>
      </c>
      <c r="O171" s="530">
        <v>123651.89514304798</v>
      </c>
      <c r="P171" s="530">
        <v>78606.287979411427</v>
      </c>
      <c r="Q171" s="530">
        <v>53665.517958749479</v>
      </c>
      <c r="R171" s="530">
        <v>22358.028563274413</v>
      </c>
      <c r="S171" s="530">
        <v>23999.201880375233</v>
      </c>
      <c r="T171" s="530">
        <v>724099.73449772131</v>
      </c>
      <c r="U171" s="530" t="s">
        <v>57</v>
      </c>
    </row>
    <row r="172" spans="1:21" ht="13.8" x14ac:dyDescent="0.3">
      <c r="A172" s="530" t="str">
        <f t="shared" si="4"/>
        <v>Gwynedd.2014.Population.Total</v>
      </c>
      <c r="B172" s="530" t="s">
        <v>219</v>
      </c>
      <c r="C172" s="530" t="str">
        <f t="shared" si="5"/>
        <v>2014.Population.Total</v>
      </c>
      <c r="D172" s="530" t="s">
        <v>233</v>
      </c>
      <c r="E172" s="530" t="s">
        <v>19</v>
      </c>
      <c r="F172" s="530" t="s">
        <v>54</v>
      </c>
      <c r="G172" s="530" t="s">
        <v>54</v>
      </c>
      <c r="H172" s="530">
        <v>121900</v>
      </c>
      <c r="I172" s="530">
        <v>121900</v>
      </c>
      <c r="J172" s="530">
        <v>121900</v>
      </c>
      <c r="K172" s="530">
        <v>121900</v>
      </c>
      <c r="L172" s="530">
        <v>121900</v>
      </c>
      <c r="M172" s="530">
        <v>121900</v>
      </c>
      <c r="N172" s="530">
        <v>121900</v>
      </c>
      <c r="O172" s="530">
        <v>121900</v>
      </c>
      <c r="P172" s="530">
        <v>121900</v>
      </c>
      <c r="Q172" s="530">
        <v>121900</v>
      </c>
      <c r="R172" s="530">
        <v>121900</v>
      </c>
      <c r="S172" s="530">
        <v>121900</v>
      </c>
      <c r="T172" s="530">
        <v>121900</v>
      </c>
      <c r="U172" s="530" t="s">
        <v>60</v>
      </c>
    </row>
    <row r="173" spans="1:21" ht="13.8" x14ac:dyDescent="0.3">
      <c r="A173" s="530" t="str">
        <f t="shared" si="4"/>
        <v>Gwynedd.2014.Employment.Serviced Accommodation</v>
      </c>
      <c r="B173" s="530" t="s">
        <v>219</v>
      </c>
      <c r="C173" s="530" t="str">
        <f t="shared" si="5"/>
        <v>2014.Employment.Serviced Accommodation</v>
      </c>
      <c r="D173" s="530" t="s">
        <v>233</v>
      </c>
      <c r="E173" s="530" t="s">
        <v>20</v>
      </c>
      <c r="F173" s="530" t="s">
        <v>43</v>
      </c>
      <c r="G173" s="530" t="s">
        <v>43</v>
      </c>
      <c r="H173" s="530">
        <v>1304.7756380303972</v>
      </c>
      <c r="I173" s="530">
        <v>1379.6877638552292</v>
      </c>
      <c r="J173" s="530">
        <v>1552.6443302231503</v>
      </c>
      <c r="K173" s="530">
        <v>1721.5306836723389</v>
      </c>
      <c r="L173" s="530">
        <v>1806.1110958233039</v>
      </c>
      <c r="M173" s="530">
        <v>1836.9492788222958</v>
      </c>
      <c r="N173" s="530">
        <v>1905.2928117021397</v>
      </c>
      <c r="O173" s="530">
        <v>1989.1051849560338</v>
      </c>
      <c r="P173" s="530">
        <v>1856.8033808109806</v>
      </c>
      <c r="Q173" s="530">
        <v>1680.5702577612506</v>
      </c>
      <c r="R173" s="530">
        <v>1464.9519562885903</v>
      </c>
      <c r="S173" s="530">
        <v>1395.1066963979961</v>
      </c>
      <c r="T173" s="530">
        <v>1657.7940898619756</v>
      </c>
      <c r="U173" s="530" t="s">
        <v>59</v>
      </c>
    </row>
    <row r="174" spans="1:21" ht="13.8" x14ac:dyDescent="0.3">
      <c r="A174" s="530" t="str">
        <f t="shared" si="4"/>
        <v>Gwynedd.2014.Employment.Non-Serviced Accommodation</v>
      </c>
      <c r="B174" s="530" t="s">
        <v>219</v>
      </c>
      <c r="C174" s="530" t="str">
        <f t="shared" si="5"/>
        <v>2014.Employment.Non-Serviced Accommodation</v>
      </c>
      <c r="D174" s="530" t="s">
        <v>233</v>
      </c>
      <c r="E174" s="530" t="s">
        <v>20</v>
      </c>
      <c r="F174" s="530" t="s">
        <v>48</v>
      </c>
      <c r="G174" s="530" t="s">
        <v>48</v>
      </c>
      <c r="H174" s="530">
        <v>4198.533785490893</v>
      </c>
      <c r="I174" s="530">
        <v>4922.9918650895088</v>
      </c>
      <c r="J174" s="530">
        <v>9264.0735372018735</v>
      </c>
      <c r="K174" s="530">
        <v>9475.132569015479</v>
      </c>
      <c r="L174" s="530">
        <v>10621.440845777706</v>
      </c>
      <c r="M174" s="530">
        <v>10942.683891004403</v>
      </c>
      <c r="N174" s="530">
        <v>13622.125413147962</v>
      </c>
      <c r="O174" s="530">
        <v>16335.09499208353</v>
      </c>
      <c r="P174" s="530">
        <v>10351.933778335704</v>
      </c>
      <c r="Q174" s="530">
        <v>8627.2396071832136</v>
      </c>
      <c r="R174" s="530">
        <v>5081.7484341982272</v>
      </c>
      <c r="S174" s="530">
        <v>5129.8428679130702</v>
      </c>
      <c r="T174" s="530">
        <v>9047.7367988701317</v>
      </c>
      <c r="U174" s="530" t="s">
        <v>59</v>
      </c>
    </row>
    <row r="175" spans="1:21" ht="13.8" x14ac:dyDescent="0.3">
      <c r="A175" s="530" t="str">
        <f t="shared" si="4"/>
        <v>Gwynedd.2014.Employment.SFR</v>
      </c>
      <c r="B175" s="530" t="s">
        <v>219</v>
      </c>
      <c r="C175" s="530" t="str">
        <f t="shared" si="5"/>
        <v>2014.Employment.SFR</v>
      </c>
      <c r="D175" s="530" t="s">
        <v>233</v>
      </c>
      <c r="E175" s="530" t="s">
        <v>20</v>
      </c>
      <c r="F175" s="530" t="s">
        <v>18</v>
      </c>
      <c r="G175" s="530" t="s">
        <v>18</v>
      </c>
      <c r="H175" s="530">
        <v>245.09569205235582</v>
      </c>
      <c r="I175" s="530">
        <v>82.352152529591535</v>
      </c>
      <c r="J175" s="530">
        <v>93.681020073344897</v>
      </c>
      <c r="K175" s="530">
        <v>223.52727115174852</v>
      </c>
      <c r="L175" s="530">
        <v>143.78947267071538</v>
      </c>
      <c r="M175" s="530">
        <v>110.76364515230065</v>
      </c>
      <c r="N175" s="530">
        <v>179.73684083839424</v>
      </c>
      <c r="O175" s="530">
        <v>190.26833039733722</v>
      </c>
      <c r="P175" s="530">
        <v>98.003636629798933</v>
      </c>
      <c r="Q175" s="530">
        <v>97.907559118514371</v>
      </c>
      <c r="R175" s="530">
        <v>76.290119079496577</v>
      </c>
      <c r="S175" s="530">
        <v>220.91291710319004</v>
      </c>
      <c r="T175" s="530">
        <v>146.86072139973234</v>
      </c>
      <c r="U175" s="530" t="s">
        <v>59</v>
      </c>
    </row>
    <row r="176" spans="1:21" ht="13.8" x14ac:dyDescent="0.3">
      <c r="A176" s="530" t="str">
        <f t="shared" si="4"/>
        <v>Gwynedd.2014.Employment.Day Visitor</v>
      </c>
      <c r="B176" s="530" t="s">
        <v>219</v>
      </c>
      <c r="C176" s="530" t="str">
        <f t="shared" si="5"/>
        <v>2014.Employment.Day Visitor</v>
      </c>
      <c r="D176" s="530" t="s">
        <v>233</v>
      </c>
      <c r="E176" s="530" t="s">
        <v>20</v>
      </c>
      <c r="F176" s="530" t="s">
        <v>71</v>
      </c>
      <c r="G176" s="530" t="s">
        <v>71</v>
      </c>
      <c r="H176" s="530">
        <v>150.31612683642854</v>
      </c>
      <c r="I176" s="530">
        <v>472.08579407196811</v>
      </c>
      <c r="J176" s="530">
        <v>1322.8005307185069</v>
      </c>
      <c r="K176" s="530">
        <v>2133.2993307676679</v>
      </c>
      <c r="L176" s="530">
        <v>1976.280498693329</v>
      </c>
      <c r="M176" s="530">
        <v>2620.0624381049615</v>
      </c>
      <c r="N176" s="530">
        <v>2301.5924365866813</v>
      </c>
      <c r="O176" s="530">
        <v>3021.2620242213848</v>
      </c>
      <c r="P176" s="530">
        <v>1443.5838333101772</v>
      </c>
      <c r="Q176" s="530">
        <v>1432.5860984744706</v>
      </c>
      <c r="R176" s="530">
        <v>410.99210563448071</v>
      </c>
      <c r="S176" s="530">
        <v>284.9498082018261</v>
      </c>
      <c r="T176" s="530">
        <v>1464.1509188018235</v>
      </c>
      <c r="U176" s="530" t="s">
        <v>59</v>
      </c>
    </row>
    <row r="177" spans="1:21" ht="13.8" x14ac:dyDescent="0.3">
      <c r="A177" s="530" t="str">
        <f t="shared" si="4"/>
        <v>Gwynedd.2014.Employment.Direct Employment</v>
      </c>
      <c r="B177" s="530" t="s">
        <v>219</v>
      </c>
      <c r="C177" s="530" t="str">
        <f t="shared" si="5"/>
        <v>2014.Employment.Direct Employment</v>
      </c>
      <c r="D177" s="530" t="s">
        <v>233</v>
      </c>
      <c r="E177" s="530" t="s">
        <v>20</v>
      </c>
      <c r="F177" s="530" t="s">
        <v>55</v>
      </c>
      <c r="G177" s="530" t="s">
        <v>55</v>
      </c>
      <c r="H177" s="530">
        <v>5898.7212424100744</v>
      </c>
      <c r="I177" s="530">
        <v>6857.1175755462973</v>
      </c>
      <c r="J177" s="530">
        <v>12233.199418216876</v>
      </c>
      <c r="K177" s="530">
        <v>13553.489854607235</v>
      </c>
      <c r="L177" s="530">
        <v>14547.621912965054</v>
      </c>
      <c r="M177" s="530">
        <v>15510.459253083962</v>
      </c>
      <c r="N177" s="530">
        <v>18008.747502275175</v>
      </c>
      <c r="O177" s="530">
        <v>21535.73053165829</v>
      </c>
      <c r="P177" s="530">
        <v>13750.324629086661</v>
      </c>
      <c r="Q177" s="530">
        <v>11838.303522537448</v>
      </c>
      <c r="R177" s="530">
        <v>7033.9826152007954</v>
      </c>
      <c r="S177" s="530">
        <v>7030.8122896160821</v>
      </c>
      <c r="T177" s="530">
        <v>12316.542528933665</v>
      </c>
      <c r="U177" s="530" t="s">
        <v>59</v>
      </c>
    </row>
    <row r="178" spans="1:21" ht="13.8" x14ac:dyDescent="0.3">
      <c r="A178" s="530" t="str">
        <f t="shared" si="4"/>
        <v>Gwynedd.2014.Employment.Indirect Employment</v>
      </c>
      <c r="B178" s="530" t="s">
        <v>219</v>
      </c>
      <c r="C178" s="530" t="str">
        <f t="shared" si="5"/>
        <v>2014.Employment.Indirect Employment</v>
      </c>
      <c r="D178" s="530" t="s">
        <v>233</v>
      </c>
      <c r="E178" s="530" t="s">
        <v>20</v>
      </c>
      <c r="F178" s="530" t="s">
        <v>53</v>
      </c>
      <c r="G178" s="530" t="s">
        <v>53</v>
      </c>
      <c r="H178" s="530">
        <v>680.81442687904223</v>
      </c>
      <c r="I178" s="530">
        <v>1018.3942705243566</v>
      </c>
      <c r="J178" s="530">
        <v>2558.666484755096</v>
      </c>
      <c r="K178" s="530">
        <v>2948.3529028547787</v>
      </c>
      <c r="L178" s="530">
        <v>3244.0103517704201</v>
      </c>
      <c r="M178" s="530">
        <v>3567.094444675321</v>
      </c>
      <c r="N178" s="530">
        <v>4835.1880801118987</v>
      </c>
      <c r="O178" s="530">
        <v>5518.1238991283353</v>
      </c>
      <c r="P178" s="530">
        <v>3525.4519622702833</v>
      </c>
      <c r="Q178" s="530">
        <v>2420.3057238279912</v>
      </c>
      <c r="R178" s="530">
        <v>999.31331428738122</v>
      </c>
      <c r="S178" s="530">
        <v>1145.6916752481986</v>
      </c>
      <c r="T178" s="530">
        <v>2705.1172946944248</v>
      </c>
      <c r="U178" s="530" t="s">
        <v>59</v>
      </c>
    </row>
    <row r="179" spans="1:21" ht="13.8" x14ac:dyDescent="0.3">
      <c r="A179" s="530" t="str">
        <f t="shared" si="4"/>
        <v>Gwynedd.2014.Employment.Total</v>
      </c>
      <c r="B179" s="530" t="s">
        <v>219</v>
      </c>
      <c r="C179" s="530" t="str">
        <f t="shared" si="5"/>
        <v>2014.Employment.Total</v>
      </c>
      <c r="D179" s="530" t="s">
        <v>233</v>
      </c>
      <c r="E179" s="530" t="s">
        <v>20</v>
      </c>
      <c r="F179" s="530" t="s">
        <v>54</v>
      </c>
      <c r="G179" s="530" t="s">
        <v>54</v>
      </c>
      <c r="H179" s="530">
        <v>6579.5356692891164</v>
      </c>
      <c r="I179" s="530">
        <v>7875.5118460706535</v>
      </c>
      <c r="J179" s="530">
        <v>14791.865902971973</v>
      </c>
      <c r="K179" s="530">
        <v>16501.842757462015</v>
      </c>
      <c r="L179" s="530">
        <v>17791.632264735475</v>
      </c>
      <c r="M179" s="530">
        <v>19077.553697759282</v>
      </c>
      <c r="N179" s="530">
        <v>22843.935582387072</v>
      </c>
      <c r="O179" s="530">
        <v>27053.854430786625</v>
      </c>
      <c r="P179" s="530">
        <v>17275.776591356946</v>
      </c>
      <c r="Q179" s="530">
        <v>14258.609246365439</v>
      </c>
      <c r="R179" s="530">
        <v>8033.2959294881766</v>
      </c>
      <c r="S179" s="530">
        <v>8176.5039648642805</v>
      </c>
      <c r="T179" s="530">
        <v>15021.65982362809</v>
      </c>
      <c r="U179" s="530" t="s">
        <v>59</v>
      </c>
    </row>
    <row r="180" spans="1:21" ht="13.8" x14ac:dyDescent="0.3">
      <c r="A180" s="530" t="str">
        <f t="shared" si="4"/>
        <v>Gwynedd.2014.Employment.Accommodation</v>
      </c>
      <c r="B180" s="530" t="s">
        <v>219</v>
      </c>
      <c r="C180" s="530" t="str">
        <f t="shared" si="5"/>
        <v>2014.Employment.Accommodation</v>
      </c>
      <c r="D180" s="530" t="s">
        <v>233</v>
      </c>
      <c r="E180" s="530" t="s">
        <v>20</v>
      </c>
      <c r="F180" s="530" t="s">
        <v>23</v>
      </c>
      <c r="G180" s="530" t="s">
        <v>23</v>
      </c>
      <c r="H180" s="530">
        <v>3953.5</v>
      </c>
      <c r="I180" s="530">
        <v>3994.9</v>
      </c>
      <c r="J180" s="530">
        <v>4429</v>
      </c>
      <c r="K180" s="530">
        <v>4640.5</v>
      </c>
      <c r="L180" s="530">
        <v>4677.2</v>
      </c>
      <c r="M180" s="530">
        <v>4688.0994528594592</v>
      </c>
      <c r="N180" s="530">
        <v>4681.7</v>
      </c>
      <c r="O180" s="530">
        <v>6337.9889680955894</v>
      </c>
      <c r="P180" s="530">
        <v>4663.5</v>
      </c>
      <c r="Q180" s="530">
        <v>4600.5</v>
      </c>
      <c r="R180" s="530">
        <v>4134.6000000000004</v>
      </c>
      <c r="S180" s="530">
        <v>4079</v>
      </c>
      <c r="T180" s="530">
        <v>4573.3740350795879</v>
      </c>
      <c r="U180" s="530" t="s">
        <v>59</v>
      </c>
    </row>
    <row r="181" spans="1:21" ht="13.8" x14ac:dyDescent="0.3">
      <c r="A181" s="530" t="str">
        <f t="shared" si="4"/>
        <v>Gwynedd.2014.Employment.Food &amp; Drink</v>
      </c>
      <c r="B181" s="530" t="s">
        <v>219</v>
      </c>
      <c r="C181" s="530" t="str">
        <f t="shared" si="5"/>
        <v>2014.Employment.Food &amp; Drink</v>
      </c>
      <c r="D181" s="530" t="s">
        <v>233</v>
      </c>
      <c r="E181" s="530" t="s">
        <v>20</v>
      </c>
      <c r="F181" s="530" t="s">
        <v>49</v>
      </c>
      <c r="G181" s="530" t="s">
        <v>49</v>
      </c>
      <c r="H181" s="530">
        <v>877.06887645118832</v>
      </c>
      <c r="I181" s="530">
        <v>1176.8318315830199</v>
      </c>
      <c r="J181" s="530">
        <v>3188.2860655598306</v>
      </c>
      <c r="K181" s="530">
        <v>3629.597662661216</v>
      </c>
      <c r="L181" s="530">
        <v>4077.8453797963984</v>
      </c>
      <c r="M181" s="530">
        <v>4428.5074536532966</v>
      </c>
      <c r="N181" s="530">
        <v>5552.9244636227331</v>
      </c>
      <c r="O181" s="530">
        <v>6263.990767493593</v>
      </c>
      <c r="P181" s="530">
        <v>3827.1152521856338</v>
      </c>
      <c r="Q181" s="530">
        <v>3021.6331638964666</v>
      </c>
      <c r="R181" s="530">
        <v>1259.4250342890284</v>
      </c>
      <c r="S181" s="530">
        <v>1241.1979572915068</v>
      </c>
      <c r="T181" s="530">
        <v>3212.0353257069928</v>
      </c>
      <c r="U181" s="530" t="s">
        <v>59</v>
      </c>
    </row>
    <row r="182" spans="1:21" ht="13.8" x14ac:dyDescent="0.3">
      <c r="A182" s="530" t="str">
        <f t="shared" si="4"/>
        <v>Gwynedd.2014.Employment.Recreation</v>
      </c>
      <c r="B182" s="530" t="s">
        <v>219</v>
      </c>
      <c r="C182" s="530" t="str">
        <f t="shared" si="5"/>
        <v>2014.Employment.Recreation</v>
      </c>
      <c r="D182" s="530" t="s">
        <v>233</v>
      </c>
      <c r="E182" s="530" t="s">
        <v>20</v>
      </c>
      <c r="F182" s="530" t="s">
        <v>50</v>
      </c>
      <c r="G182" s="530" t="s">
        <v>50</v>
      </c>
      <c r="H182" s="530">
        <v>203.76136215697508</v>
      </c>
      <c r="I182" s="530">
        <v>381.63161833160581</v>
      </c>
      <c r="J182" s="530">
        <v>1177.9775286194701</v>
      </c>
      <c r="K182" s="530">
        <v>1126.215870521884</v>
      </c>
      <c r="L182" s="530">
        <v>1283.4670416209356</v>
      </c>
      <c r="M182" s="530">
        <v>1410.3828877162557</v>
      </c>
      <c r="N182" s="530">
        <v>1795.4269254469666</v>
      </c>
      <c r="O182" s="530">
        <v>2053.1671162092634</v>
      </c>
      <c r="P182" s="530">
        <v>1195.6729999261433</v>
      </c>
      <c r="Q182" s="530">
        <v>869.55303932481934</v>
      </c>
      <c r="R182" s="530">
        <v>331.09777146757705</v>
      </c>
      <c r="S182" s="530">
        <v>331.9538745083147</v>
      </c>
      <c r="T182" s="530">
        <v>1013.3590029875176</v>
      </c>
      <c r="U182" s="530" t="s">
        <v>59</v>
      </c>
    </row>
    <row r="183" spans="1:21" ht="13.8" x14ac:dyDescent="0.3">
      <c r="A183" s="530" t="str">
        <f t="shared" si="4"/>
        <v>Gwynedd.2014.Employment.Shopping</v>
      </c>
      <c r="B183" s="530" t="s">
        <v>219</v>
      </c>
      <c r="C183" s="530" t="str">
        <f t="shared" si="5"/>
        <v>2014.Employment.Shopping</v>
      </c>
      <c r="D183" s="530" t="s">
        <v>233</v>
      </c>
      <c r="E183" s="530" t="s">
        <v>20</v>
      </c>
      <c r="F183" s="530" t="s">
        <v>51</v>
      </c>
      <c r="G183" s="530" t="s">
        <v>51</v>
      </c>
      <c r="H183" s="530">
        <v>744.25372540606122</v>
      </c>
      <c r="I183" s="530">
        <v>1114.5435751881666</v>
      </c>
      <c r="J183" s="530">
        <v>2899.3699041340956</v>
      </c>
      <c r="K183" s="530">
        <v>3568.8961300923493</v>
      </c>
      <c r="L183" s="530">
        <v>3849.4423983277443</v>
      </c>
      <c r="M183" s="530">
        <v>4264.927948760499</v>
      </c>
      <c r="N183" s="530">
        <v>5078.891813435549</v>
      </c>
      <c r="O183" s="530">
        <v>5856.2289670308746</v>
      </c>
      <c r="P183" s="530">
        <v>3457.8581402214099</v>
      </c>
      <c r="Q183" s="530">
        <v>2871.6173322996574</v>
      </c>
      <c r="R183" s="530">
        <v>1121.3994726246947</v>
      </c>
      <c r="S183" s="530">
        <v>1193.8577847558449</v>
      </c>
      <c r="T183" s="530">
        <v>3001.7739326897458</v>
      </c>
      <c r="U183" s="530" t="s">
        <v>59</v>
      </c>
    </row>
    <row r="184" spans="1:21" ht="13.8" x14ac:dyDescent="0.3">
      <c r="A184" s="530" t="str">
        <f t="shared" si="4"/>
        <v>Gwynedd.2014.Employment.Transport</v>
      </c>
      <c r="B184" s="530" t="s">
        <v>219</v>
      </c>
      <c r="C184" s="530" t="str">
        <f t="shared" si="5"/>
        <v>2014.Employment.Transport</v>
      </c>
      <c r="D184" s="530" t="s">
        <v>233</v>
      </c>
      <c r="E184" s="530" t="s">
        <v>20</v>
      </c>
      <c r="F184" s="530" t="s">
        <v>52</v>
      </c>
      <c r="G184" s="530" t="s">
        <v>52</v>
      </c>
      <c r="H184" s="530">
        <v>120.13727839584993</v>
      </c>
      <c r="I184" s="530">
        <v>189.21055044350581</v>
      </c>
      <c r="J184" s="530">
        <v>538.56591990347943</v>
      </c>
      <c r="K184" s="530">
        <v>588.2801913317835</v>
      </c>
      <c r="L184" s="530">
        <v>659.66709321997541</v>
      </c>
      <c r="M184" s="530">
        <v>718.5415100944515</v>
      </c>
      <c r="N184" s="530">
        <v>899.804299769929</v>
      </c>
      <c r="O184" s="530">
        <v>1024.3547128289636</v>
      </c>
      <c r="P184" s="530">
        <v>606.17823675347393</v>
      </c>
      <c r="Q184" s="530">
        <v>474.99998701650588</v>
      </c>
      <c r="R184" s="530">
        <v>187.46033681949484</v>
      </c>
      <c r="S184" s="530">
        <v>184.80267306041534</v>
      </c>
      <c r="T184" s="530">
        <v>516.00023246981903</v>
      </c>
      <c r="U184" s="530" t="s">
        <v>59</v>
      </c>
    </row>
    <row r="185" spans="1:21" ht="13.8" x14ac:dyDescent="0.3">
      <c r="A185" s="530" t="str">
        <f t="shared" si="4"/>
        <v>Gwynedd.2014.Visitor Days.Serviced Accommodation</v>
      </c>
      <c r="B185" s="530" t="s">
        <v>219</v>
      </c>
      <c r="C185" s="530" t="str">
        <f t="shared" si="5"/>
        <v>2014.Visitor Days.Serviced Accommodation</v>
      </c>
      <c r="D185" s="530" t="s">
        <v>233</v>
      </c>
      <c r="E185" s="530" t="s">
        <v>171</v>
      </c>
      <c r="F185" s="530" t="s">
        <v>43</v>
      </c>
      <c r="G185" s="530" t="s">
        <v>43</v>
      </c>
      <c r="H185" s="530">
        <v>25.659584939279661</v>
      </c>
      <c r="I185" s="530">
        <v>32.15961055491335</v>
      </c>
      <c r="J185" s="530">
        <v>49.035093360307457</v>
      </c>
      <c r="K185" s="530">
        <v>74.625858888888885</v>
      </c>
      <c r="L185" s="530">
        <v>92.82284885185183</v>
      </c>
      <c r="M185" s="530">
        <v>99.195555384615375</v>
      </c>
      <c r="N185" s="530">
        <v>113.6190908148148</v>
      </c>
      <c r="O185" s="530">
        <v>127.7360169382716</v>
      </c>
      <c r="P185" s="530">
        <v>104.57997083969465</v>
      </c>
      <c r="Q185" s="530">
        <v>71.007528864197525</v>
      </c>
      <c r="R185" s="530">
        <v>43.25652756202804</v>
      </c>
      <c r="S185" s="530">
        <v>32.838519805061139</v>
      </c>
      <c r="T185" s="530">
        <v>866.53620680392441</v>
      </c>
      <c r="U185" s="530" t="s">
        <v>61</v>
      </c>
    </row>
    <row r="186" spans="1:21" ht="13.8" x14ac:dyDescent="0.3">
      <c r="A186" s="530" t="str">
        <f t="shared" si="4"/>
        <v>Gwynedd.2014.Visitor Days.Non-Serviced Accommodation</v>
      </c>
      <c r="B186" s="530" t="s">
        <v>219</v>
      </c>
      <c r="C186" s="530" t="str">
        <f t="shared" si="5"/>
        <v>2014.Visitor Days.Non-Serviced Accommodation</v>
      </c>
      <c r="D186" s="530" t="s">
        <v>233</v>
      </c>
      <c r="E186" s="530" t="s">
        <v>171</v>
      </c>
      <c r="F186" s="530" t="s">
        <v>48</v>
      </c>
      <c r="G186" s="530" t="s">
        <v>48</v>
      </c>
      <c r="H186" s="530">
        <v>375.27911660089865</v>
      </c>
      <c r="I186" s="530">
        <v>517.14576523974699</v>
      </c>
      <c r="J186" s="530">
        <v>1433.0508481886309</v>
      </c>
      <c r="K186" s="530">
        <v>1484.1380997638876</v>
      </c>
      <c r="L186" s="530">
        <v>1753.0265806673578</v>
      </c>
      <c r="M186" s="530">
        <v>1843.1653099277519</v>
      </c>
      <c r="N186" s="530">
        <v>2464.5963216813034</v>
      </c>
      <c r="O186" s="530">
        <v>2710.2771150175554</v>
      </c>
      <c r="P186" s="530">
        <v>1720.2844026950688</v>
      </c>
      <c r="Q186" s="530">
        <v>1318.4673309978875</v>
      </c>
      <c r="R186" s="530">
        <v>562.89151360209769</v>
      </c>
      <c r="S186" s="530">
        <v>564.19882105599561</v>
      </c>
      <c r="T186" s="530">
        <v>16746.52122543818</v>
      </c>
      <c r="U186" s="530" t="s">
        <v>61</v>
      </c>
    </row>
    <row r="187" spans="1:21" ht="13.8" x14ac:dyDescent="0.3">
      <c r="A187" s="530" t="str">
        <f t="shared" si="4"/>
        <v>Gwynedd.2014.Visitor Days.SFR</v>
      </c>
      <c r="B187" s="530" t="s">
        <v>219</v>
      </c>
      <c r="C187" s="530" t="str">
        <f t="shared" si="5"/>
        <v>2014.Visitor Days.SFR</v>
      </c>
      <c r="D187" s="530" t="s">
        <v>233</v>
      </c>
      <c r="E187" s="530" t="s">
        <v>171</v>
      </c>
      <c r="F187" s="530" t="s">
        <v>18</v>
      </c>
      <c r="G187" s="530" t="s">
        <v>18</v>
      </c>
      <c r="H187" s="530">
        <v>62.335227272727273</v>
      </c>
      <c r="I187" s="530">
        <v>20.944636363636359</v>
      </c>
      <c r="J187" s="530">
        <v>23.825909090909093</v>
      </c>
      <c r="K187" s="530">
        <v>56.849727272727272</v>
      </c>
      <c r="L187" s="530">
        <v>36.57</v>
      </c>
      <c r="M187" s="530">
        <v>28.170535909090912</v>
      </c>
      <c r="N187" s="530">
        <v>45.712499999999999</v>
      </c>
      <c r="O187" s="530">
        <v>48.390975454545455</v>
      </c>
      <c r="P187" s="530">
        <v>24.925280863636367</v>
      </c>
      <c r="Q187" s="530">
        <v>24.900845454545454</v>
      </c>
      <c r="R187" s="530">
        <v>19.402878409090903</v>
      </c>
      <c r="S187" s="530">
        <v>56.184818181818187</v>
      </c>
      <c r="T187" s="530">
        <v>448.21333427272725</v>
      </c>
      <c r="U187" s="530" t="s">
        <v>61</v>
      </c>
    </row>
    <row r="188" spans="1:21" ht="13.8" x14ac:dyDescent="0.3">
      <c r="A188" s="530" t="str">
        <f t="shared" si="4"/>
        <v>Gwynedd.2014.Visitor Days.Day Visitor</v>
      </c>
      <c r="B188" s="530" t="s">
        <v>219</v>
      </c>
      <c r="C188" s="530" t="str">
        <f t="shared" si="5"/>
        <v>2014.Visitor Days.Day Visitor</v>
      </c>
      <c r="D188" s="530" t="s">
        <v>233</v>
      </c>
      <c r="E188" s="530" t="s">
        <v>171</v>
      </c>
      <c r="F188" s="530" t="s">
        <v>71</v>
      </c>
      <c r="G188" s="530" t="s">
        <v>71</v>
      </c>
      <c r="H188" s="530">
        <v>30.051771885455949</v>
      </c>
      <c r="I188" s="530">
        <v>94.38118778335199</v>
      </c>
      <c r="J188" s="530">
        <v>264.45931408524541</v>
      </c>
      <c r="K188" s="530">
        <v>426.49731735962428</v>
      </c>
      <c r="L188" s="530">
        <v>395.10551514565719</v>
      </c>
      <c r="M188" s="530">
        <v>523.81284944404331</v>
      </c>
      <c r="N188" s="530">
        <v>460.14311526839674</v>
      </c>
      <c r="O188" s="530">
        <v>604.02219687906631</v>
      </c>
      <c r="P188" s="530">
        <v>288.60677140369205</v>
      </c>
      <c r="Q188" s="530">
        <v>286.40806241953209</v>
      </c>
      <c r="R188" s="530">
        <v>82.167105188193304</v>
      </c>
      <c r="S188" s="530">
        <v>56.968249615718769</v>
      </c>
      <c r="T188" s="530">
        <v>3512.623456477977</v>
      </c>
      <c r="U188" s="530" t="s">
        <v>61</v>
      </c>
    </row>
    <row r="189" spans="1:21" ht="13.8" x14ac:dyDescent="0.3">
      <c r="A189" s="530" t="str">
        <f t="shared" si="4"/>
        <v>Gwynedd.2014.Visitor Days.Total</v>
      </c>
      <c r="B189" s="530" t="s">
        <v>219</v>
      </c>
      <c r="C189" s="530" t="str">
        <f t="shared" si="5"/>
        <v>2014.Visitor Days.Total</v>
      </c>
      <c r="D189" s="530" t="s">
        <v>233</v>
      </c>
      <c r="E189" s="530" t="s">
        <v>171</v>
      </c>
      <c r="F189" s="530" t="s">
        <v>54</v>
      </c>
      <c r="G189" s="530" t="s">
        <v>54</v>
      </c>
      <c r="H189" s="530">
        <v>493.32570069836152</v>
      </c>
      <c r="I189" s="530">
        <v>664.63119994164867</v>
      </c>
      <c r="J189" s="530">
        <v>1770.371164725093</v>
      </c>
      <c r="K189" s="530">
        <v>2042.1110032851279</v>
      </c>
      <c r="L189" s="530">
        <v>2277.5249446648668</v>
      </c>
      <c r="M189" s="530">
        <v>2494.3442506655015</v>
      </c>
      <c r="N189" s="530">
        <v>3084.0710277645148</v>
      </c>
      <c r="O189" s="530">
        <v>3490.4263042894381</v>
      </c>
      <c r="P189" s="530">
        <v>2138.3964258020919</v>
      </c>
      <c r="Q189" s="530">
        <v>1700.7837677361626</v>
      </c>
      <c r="R189" s="530">
        <v>707.71802476140999</v>
      </c>
      <c r="S189" s="530">
        <v>710.19040865859358</v>
      </c>
      <c r="T189" s="530">
        <v>21573.894222992811</v>
      </c>
      <c r="U189" s="530" t="s">
        <v>61</v>
      </c>
    </row>
    <row r="190" spans="1:21" ht="13.8" x14ac:dyDescent="0.3">
      <c r="A190" s="530" t="str">
        <f t="shared" si="4"/>
        <v>Gwynedd.2014.Visitor Numbers.Serviced Accommodation</v>
      </c>
      <c r="B190" s="530" t="s">
        <v>219</v>
      </c>
      <c r="C190" s="530" t="str">
        <f t="shared" si="5"/>
        <v>2014.Visitor Numbers.Serviced Accommodation</v>
      </c>
      <c r="D190" s="530" t="s">
        <v>233</v>
      </c>
      <c r="E190" s="530" t="s">
        <v>172</v>
      </c>
      <c r="F190" s="530" t="s">
        <v>43</v>
      </c>
      <c r="G190" s="530" t="s">
        <v>43</v>
      </c>
      <c r="H190" s="530">
        <v>16.448762227920597</v>
      </c>
      <c r="I190" s="530">
        <v>21.959517947487136</v>
      </c>
      <c r="J190" s="530">
        <v>23.833016647177566</v>
      </c>
      <c r="K190" s="530">
        <v>41.210927160493824</v>
      </c>
      <c r="L190" s="530">
        <v>49.633191786716111</v>
      </c>
      <c r="M190" s="530">
        <v>56.169304497410174</v>
      </c>
      <c r="N190" s="530">
        <v>66.708637541377044</v>
      </c>
      <c r="O190" s="530">
        <v>74.579245158429842</v>
      </c>
      <c r="P190" s="530">
        <v>53.960171278433187</v>
      </c>
      <c r="Q190" s="530">
        <v>41.051782689718721</v>
      </c>
      <c r="R190" s="530">
        <v>25.647482008013558</v>
      </c>
      <c r="S190" s="530">
        <v>20.45156264336655</v>
      </c>
      <c r="T190" s="530">
        <v>491.65360158654437</v>
      </c>
      <c r="U190" s="530" t="s">
        <v>61</v>
      </c>
    </row>
    <row r="191" spans="1:21" ht="13.8" x14ac:dyDescent="0.3">
      <c r="A191" s="530" t="str">
        <f t="shared" si="4"/>
        <v>Gwynedd.2014.Visitor Numbers.Non-Serviced Accommodation</v>
      </c>
      <c r="B191" s="530" t="s">
        <v>219</v>
      </c>
      <c r="C191" s="530" t="str">
        <f t="shared" si="5"/>
        <v>2014.Visitor Numbers.Non-Serviced Accommodation</v>
      </c>
      <c r="D191" s="530" t="s">
        <v>233</v>
      </c>
      <c r="E191" s="530" t="s">
        <v>172</v>
      </c>
      <c r="F191" s="530" t="s">
        <v>48</v>
      </c>
      <c r="G191" s="530" t="s">
        <v>48</v>
      </c>
      <c r="H191" s="530">
        <v>110.3762107649702</v>
      </c>
      <c r="I191" s="530">
        <v>129.28644130993675</v>
      </c>
      <c r="J191" s="530">
        <v>298.55226003929818</v>
      </c>
      <c r="K191" s="530">
        <v>231.89657808810739</v>
      </c>
      <c r="L191" s="530">
        <v>254.06182328512432</v>
      </c>
      <c r="M191" s="530">
        <v>263.30932998967882</v>
      </c>
      <c r="N191" s="530">
        <v>347.1262424903245</v>
      </c>
      <c r="O191" s="530">
        <v>356.61540987073101</v>
      </c>
      <c r="P191" s="530">
        <v>249.3165801007346</v>
      </c>
      <c r="Q191" s="530">
        <v>188.35247585684107</v>
      </c>
      <c r="R191" s="530">
        <v>125.08700302268838</v>
      </c>
      <c r="S191" s="530">
        <v>100.74978947428494</v>
      </c>
      <c r="T191" s="530">
        <v>2654.7301442927201</v>
      </c>
      <c r="U191" s="530" t="s">
        <v>61</v>
      </c>
    </row>
    <row r="192" spans="1:21" ht="13.8" x14ac:dyDescent="0.3">
      <c r="A192" s="530" t="str">
        <f t="shared" si="4"/>
        <v>Gwynedd.2014.Visitor Numbers.SFR</v>
      </c>
      <c r="B192" s="530" t="s">
        <v>219</v>
      </c>
      <c r="C192" s="530" t="str">
        <f t="shared" si="5"/>
        <v>2014.Visitor Numbers.SFR</v>
      </c>
      <c r="D192" s="530" t="s">
        <v>233</v>
      </c>
      <c r="E192" s="530" t="s">
        <v>172</v>
      </c>
      <c r="F192" s="530" t="s">
        <v>18</v>
      </c>
      <c r="G192" s="530" t="s">
        <v>18</v>
      </c>
      <c r="H192" s="530">
        <v>24.934090909090909</v>
      </c>
      <c r="I192" s="530">
        <v>9.973636363636361</v>
      </c>
      <c r="J192" s="530">
        <v>11.081818181818184</v>
      </c>
      <c r="K192" s="530">
        <v>21.055454545454545</v>
      </c>
      <c r="L192" s="530">
        <v>16.622727272727271</v>
      </c>
      <c r="M192" s="530">
        <v>13.41454090909091</v>
      </c>
      <c r="N192" s="530">
        <v>18.285</v>
      </c>
      <c r="O192" s="530">
        <v>18.611913636363635</v>
      </c>
      <c r="P192" s="530">
        <v>11.486304545454548</v>
      </c>
      <c r="Q192" s="530">
        <v>11.63590909090909</v>
      </c>
      <c r="R192" s="530">
        <v>9.5580681818181787</v>
      </c>
      <c r="S192" s="530">
        <v>21.609545454545454</v>
      </c>
      <c r="T192" s="530">
        <v>188.26900909090909</v>
      </c>
      <c r="U192" s="530" t="s">
        <v>61</v>
      </c>
    </row>
    <row r="193" spans="1:21" ht="13.8" x14ac:dyDescent="0.3">
      <c r="A193" s="530" t="str">
        <f t="shared" si="4"/>
        <v>Gwynedd.2014.Visitor Numbers.Day Visitor</v>
      </c>
      <c r="B193" s="530" t="s">
        <v>219</v>
      </c>
      <c r="C193" s="530" t="str">
        <f t="shared" si="5"/>
        <v>2014.Visitor Numbers.Day Visitor</v>
      </c>
      <c r="D193" s="530" t="s">
        <v>233</v>
      </c>
      <c r="E193" s="530" t="s">
        <v>172</v>
      </c>
      <c r="F193" s="530" t="s">
        <v>71</v>
      </c>
      <c r="G193" s="530" t="s">
        <v>71</v>
      </c>
      <c r="H193" s="530">
        <v>30.051771885455949</v>
      </c>
      <c r="I193" s="530">
        <v>94.38118778335199</v>
      </c>
      <c r="J193" s="530">
        <v>264.45931408524541</v>
      </c>
      <c r="K193" s="530">
        <v>426.49731735962428</v>
      </c>
      <c r="L193" s="530">
        <v>395.10551514565719</v>
      </c>
      <c r="M193" s="530">
        <v>523.81284944404331</v>
      </c>
      <c r="N193" s="530">
        <v>460.14311526839674</v>
      </c>
      <c r="O193" s="530">
        <v>604.02219687906631</v>
      </c>
      <c r="P193" s="530">
        <v>288.60677140369205</v>
      </c>
      <c r="Q193" s="530">
        <v>286.40806241953209</v>
      </c>
      <c r="R193" s="530">
        <v>82.167105188193304</v>
      </c>
      <c r="S193" s="530">
        <v>56.968249615718769</v>
      </c>
      <c r="T193" s="530">
        <v>3512.623456477977</v>
      </c>
      <c r="U193" s="530" t="s">
        <v>61</v>
      </c>
    </row>
    <row r="194" spans="1:21" ht="13.8" x14ac:dyDescent="0.3">
      <c r="A194" s="530" t="str">
        <f t="shared" si="4"/>
        <v>Gwynedd.2014.Visitor Numbers.Total</v>
      </c>
      <c r="B194" s="530" t="s">
        <v>219</v>
      </c>
      <c r="C194" s="530" t="str">
        <f t="shared" si="5"/>
        <v>2014.Visitor Numbers.Total</v>
      </c>
      <c r="D194" s="530" t="s">
        <v>233</v>
      </c>
      <c r="E194" s="530" t="s">
        <v>172</v>
      </c>
      <c r="F194" s="530" t="s">
        <v>54</v>
      </c>
      <c r="G194" s="530" t="s">
        <v>54</v>
      </c>
      <c r="H194" s="530">
        <v>181.81083578743767</v>
      </c>
      <c r="I194" s="530">
        <v>255.60078340441225</v>
      </c>
      <c r="J194" s="530">
        <v>597.92640895353929</v>
      </c>
      <c r="K194" s="530">
        <v>720.66027715368</v>
      </c>
      <c r="L194" s="530">
        <v>715.42325749022484</v>
      </c>
      <c r="M194" s="530">
        <v>856.70602484022322</v>
      </c>
      <c r="N194" s="530">
        <v>892.26299530009828</v>
      </c>
      <c r="O194" s="530">
        <v>1053.8287655445909</v>
      </c>
      <c r="P194" s="530">
        <v>603.36982732831439</v>
      </c>
      <c r="Q194" s="530">
        <v>527.44823005700096</v>
      </c>
      <c r="R194" s="530">
        <v>242.45965840071341</v>
      </c>
      <c r="S194" s="530">
        <v>199.77914718791573</v>
      </c>
      <c r="T194" s="530">
        <v>6847.2762114481502</v>
      </c>
      <c r="U194" s="530" t="s">
        <v>61</v>
      </c>
    </row>
    <row r="195" spans="1:21" ht="13.8" x14ac:dyDescent="0.3">
      <c r="A195" s="530" t="str">
        <f t="shared" si="4"/>
        <v>Gwynedd.2014.Vehicle Days.Serviced Accommodation</v>
      </c>
      <c r="B195" s="530" t="s">
        <v>219</v>
      </c>
      <c r="C195" s="530" t="str">
        <f t="shared" si="5"/>
        <v>2014.Vehicle Days.Serviced Accommodation</v>
      </c>
      <c r="D195" s="530" t="s">
        <v>233</v>
      </c>
      <c r="E195" s="530" t="s">
        <v>21</v>
      </c>
      <c r="F195" s="530" t="s">
        <v>43</v>
      </c>
      <c r="G195" s="530" t="s">
        <v>43</v>
      </c>
      <c r="H195" s="530">
        <v>6.5699053026107741</v>
      </c>
      <c r="I195" s="530">
        <v>10.956500228848503</v>
      </c>
      <c r="J195" s="530">
        <v>17.4548371597051</v>
      </c>
      <c r="K195" s="530">
        <v>19.31189493300166</v>
      </c>
      <c r="L195" s="530">
        <v>25.921096384230957</v>
      </c>
      <c r="M195" s="530">
        <v>27.401234246693605</v>
      </c>
      <c r="N195" s="530">
        <v>29.403294623460472</v>
      </c>
      <c r="O195" s="530">
        <v>33.052082203840058</v>
      </c>
      <c r="P195" s="530">
        <v>27.073476613375867</v>
      </c>
      <c r="Q195" s="530">
        <v>20.856484792507828</v>
      </c>
      <c r="R195" s="530">
        <v>12.59687924324172</v>
      </c>
      <c r="S195" s="530">
        <v>8.5146907119513617</v>
      </c>
      <c r="T195" s="530">
        <v>239.11237644346795</v>
      </c>
      <c r="U195" s="530" t="s">
        <v>61</v>
      </c>
    </row>
    <row r="196" spans="1:21" ht="13.8" x14ac:dyDescent="0.3">
      <c r="A196" s="530" t="str">
        <f t="shared" si="4"/>
        <v>Gwynedd.2014.Vehicle Days.Non-Serviced Accommodation</v>
      </c>
      <c r="B196" s="530" t="s">
        <v>219</v>
      </c>
      <c r="C196" s="530" t="str">
        <f t="shared" si="5"/>
        <v>2014.Vehicle Days.Non-Serviced Accommodation</v>
      </c>
      <c r="D196" s="530" t="s">
        <v>233</v>
      </c>
      <c r="E196" s="530" t="s">
        <v>21</v>
      </c>
      <c r="F196" s="530" t="s">
        <v>48</v>
      </c>
      <c r="G196" s="530" t="s">
        <v>48</v>
      </c>
      <c r="H196" s="530">
        <v>94.923830658001947</v>
      </c>
      <c r="I196" s="530">
        <v>148.8407790982294</v>
      </c>
      <c r="J196" s="530">
        <v>393.97155335465845</v>
      </c>
      <c r="K196" s="530">
        <v>388.11117611480472</v>
      </c>
      <c r="L196" s="530">
        <v>472.03341796719633</v>
      </c>
      <c r="M196" s="530">
        <v>494.15002951944973</v>
      </c>
      <c r="N196" s="530">
        <v>647.11415027772307</v>
      </c>
      <c r="O196" s="530">
        <v>707.44184072771748</v>
      </c>
      <c r="P196" s="530">
        <v>458.88600377156888</v>
      </c>
      <c r="Q196" s="530">
        <v>342.01780619008878</v>
      </c>
      <c r="R196" s="530">
        <v>145.13398753982764</v>
      </c>
      <c r="S196" s="530">
        <v>133.0071943059416</v>
      </c>
      <c r="T196" s="530">
        <v>4425.6317695252092</v>
      </c>
      <c r="U196" s="530" t="s">
        <v>61</v>
      </c>
    </row>
    <row r="197" spans="1:21" ht="13.8" x14ac:dyDescent="0.3">
      <c r="A197" s="530" t="str">
        <f t="shared" si="4"/>
        <v>Gwynedd.2014.Vehicle Days.SFR</v>
      </c>
      <c r="B197" s="530" t="s">
        <v>219</v>
      </c>
      <c r="C197" s="530" t="str">
        <f t="shared" si="5"/>
        <v>2014.Vehicle Days.SFR</v>
      </c>
      <c r="D197" s="530" t="s">
        <v>233</v>
      </c>
      <c r="E197" s="530" t="s">
        <v>21</v>
      </c>
      <c r="F197" s="530" t="s">
        <v>18</v>
      </c>
      <c r="G197" s="530" t="s">
        <v>18</v>
      </c>
      <c r="H197" s="530">
        <v>19.531704545454545</v>
      </c>
      <c r="I197" s="530">
        <v>6.5626527272727255</v>
      </c>
      <c r="J197" s="530">
        <v>7.4654515151515151</v>
      </c>
      <c r="K197" s="530">
        <v>17.812914545454547</v>
      </c>
      <c r="L197" s="530">
        <v>11.458599999999999</v>
      </c>
      <c r="M197" s="530">
        <v>8.8267679181818188</v>
      </c>
      <c r="N197" s="530">
        <v>14.323249999999998</v>
      </c>
      <c r="O197" s="530">
        <v>15.162505642424241</v>
      </c>
      <c r="P197" s="530">
        <v>7.8099213372727272</v>
      </c>
      <c r="Q197" s="530">
        <v>7.8022649090909075</v>
      </c>
      <c r="R197" s="530">
        <v>6.0795685681818155</v>
      </c>
      <c r="S197" s="530">
        <v>17.604576363636362</v>
      </c>
      <c r="T197" s="530">
        <v>140.4401780721212</v>
      </c>
      <c r="U197" s="530" t="s">
        <v>61</v>
      </c>
    </row>
    <row r="198" spans="1:21" ht="13.8" x14ac:dyDescent="0.3">
      <c r="A198" s="530" t="str">
        <f t="shared" si="4"/>
        <v>Gwynedd.2014.Vehicle Days.Day Visitor</v>
      </c>
      <c r="B198" s="530" t="s">
        <v>219</v>
      </c>
      <c r="C198" s="530" t="str">
        <f t="shared" si="5"/>
        <v>2014.Vehicle Days.Day Visitor</v>
      </c>
      <c r="D198" s="530" t="s">
        <v>233</v>
      </c>
      <c r="E198" s="530" t="s">
        <v>21</v>
      </c>
      <c r="F198" s="530" t="s">
        <v>71</v>
      </c>
      <c r="G198" s="530" t="s">
        <v>71</v>
      </c>
      <c r="H198" s="530">
        <v>6.611389814800309</v>
      </c>
      <c r="I198" s="530">
        <v>23.73012721409993</v>
      </c>
      <c r="J198" s="530">
        <v>66.492627541433123</v>
      </c>
      <c r="K198" s="530">
        <v>93.829409819117345</v>
      </c>
      <c r="L198" s="530">
        <v>86.923213332044583</v>
      </c>
      <c r="M198" s="530">
        <v>131.70151643164519</v>
      </c>
      <c r="N198" s="530">
        <v>101.23148535904728</v>
      </c>
      <c r="O198" s="530">
        <v>132.8848833133946</v>
      </c>
      <c r="P198" s="530">
        <v>63.493489708812248</v>
      </c>
      <c r="Q198" s="530">
        <v>72.01116997976807</v>
      </c>
      <c r="R198" s="530">
        <v>20.659157875888603</v>
      </c>
      <c r="S198" s="530">
        <v>12.533014915458129</v>
      </c>
      <c r="T198" s="530">
        <v>812.10148530550941</v>
      </c>
      <c r="U198" s="530" t="s">
        <v>61</v>
      </c>
    </row>
    <row r="199" spans="1:21" ht="13.8" x14ac:dyDescent="0.3">
      <c r="A199" s="530" t="str">
        <f t="shared" si="4"/>
        <v>Gwynedd.2014.Vehicle Days.Total</v>
      </c>
      <c r="B199" s="530" t="s">
        <v>219</v>
      </c>
      <c r="C199" s="530" t="str">
        <f t="shared" si="5"/>
        <v>2014.Vehicle Days.Total</v>
      </c>
      <c r="D199" s="530" t="s">
        <v>233</v>
      </c>
      <c r="E199" s="530" t="s">
        <v>21</v>
      </c>
      <c r="F199" s="530" t="s">
        <v>54</v>
      </c>
      <c r="G199" s="530" t="s">
        <v>54</v>
      </c>
      <c r="H199" s="530">
        <v>127.63683032086757</v>
      </c>
      <c r="I199" s="530">
        <v>190.09005926845057</v>
      </c>
      <c r="J199" s="530">
        <v>485.38446957094823</v>
      </c>
      <c r="K199" s="530">
        <v>519.06539541237828</v>
      </c>
      <c r="L199" s="530">
        <v>596.33632768347184</v>
      </c>
      <c r="M199" s="530">
        <v>662.07954811597051</v>
      </c>
      <c r="N199" s="530">
        <v>792.07218026023088</v>
      </c>
      <c r="O199" s="530">
        <v>888.54131188737642</v>
      </c>
      <c r="P199" s="530">
        <v>557.26289143102974</v>
      </c>
      <c r="Q199" s="530">
        <v>442.6877258714556</v>
      </c>
      <c r="R199" s="530">
        <v>184.4695932271398</v>
      </c>
      <c r="S199" s="530">
        <v>171.65947629698746</v>
      </c>
      <c r="T199" s="530">
        <v>5617.2858093463074</v>
      </c>
      <c r="U199" s="530" t="s">
        <v>61</v>
      </c>
    </row>
    <row r="200" spans="1:21" ht="13.8" x14ac:dyDescent="0.3">
      <c r="A200" s="530" t="str">
        <f t="shared" si="4"/>
        <v>Gwynedd.2014.Vehicle Numbers.Serviced Accommodation</v>
      </c>
      <c r="B200" s="530" t="s">
        <v>219</v>
      </c>
      <c r="C200" s="530" t="str">
        <f t="shared" si="5"/>
        <v>2014.Vehicle Numbers.Serviced Accommodation</v>
      </c>
      <c r="D200" s="530" t="s">
        <v>233</v>
      </c>
      <c r="E200" s="530" t="s">
        <v>22</v>
      </c>
      <c r="F200" s="530" t="s">
        <v>43</v>
      </c>
      <c r="G200" s="530" t="s">
        <v>43</v>
      </c>
      <c r="H200" s="530">
        <v>4.1936559824713315</v>
      </c>
      <c r="I200" s="530">
        <v>7.4750283796596806</v>
      </c>
      <c r="J200" s="530">
        <v>8.4847215681610013</v>
      </c>
      <c r="K200" s="530">
        <v>10.664380851667588</v>
      </c>
      <c r="L200" s="530">
        <v>13.840026115855746</v>
      </c>
      <c r="M200" s="530">
        <v>15.510802616451258</v>
      </c>
      <c r="N200" s="530">
        <v>17.267762989429489</v>
      </c>
      <c r="O200" s="530">
        <v>19.30677100429147</v>
      </c>
      <c r="P200" s="530">
        <v>13.970986629920258</v>
      </c>
      <c r="Q200" s="530">
        <v>12.075549119458826</v>
      </c>
      <c r="R200" s="530">
        <v>7.3850715018987358</v>
      </c>
      <c r="S200" s="530">
        <v>5.3044482665172286</v>
      </c>
      <c r="T200" s="530">
        <v>135.47920502578262</v>
      </c>
      <c r="U200" s="530" t="s">
        <v>61</v>
      </c>
    </row>
    <row r="201" spans="1:21" ht="13.8" x14ac:dyDescent="0.3">
      <c r="A201" s="530" t="str">
        <f t="shared" ref="A201:A264" si="6">B201&amp;"."&amp;D201&amp;"."&amp;E201&amp;"."&amp;F201</f>
        <v>Gwynedd.2014.Vehicle Numbers.Non-Serviced Accommodation</v>
      </c>
      <c r="B201" s="530" t="s">
        <v>219</v>
      </c>
      <c r="C201" s="530" t="str">
        <f t="shared" ref="C201:C264" si="7">D201&amp;"."&amp;E201&amp;"."&amp;F201</f>
        <v>2014.Vehicle Numbers.Non-Serviced Accommodation</v>
      </c>
      <c r="D201" s="530" t="s">
        <v>233</v>
      </c>
      <c r="E201" s="530" t="s">
        <v>22</v>
      </c>
      <c r="F201" s="530" t="s">
        <v>48</v>
      </c>
      <c r="G201" s="530" t="s">
        <v>48</v>
      </c>
      <c r="H201" s="530">
        <v>27.918773722941751</v>
      </c>
      <c r="I201" s="530">
        <v>37.210194774557351</v>
      </c>
      <c r="J201" s="530">
        <v>82.077406948887173</v>
      </c>
      <c r="K201" s="530">
        <v>60.642371267938238</v>
      </c>
      <c r="L201" s="530">
        <v>68.410640285100911</v>
      </c>
      <c r="M201" s="530">
        <v>70.592861359921386</v>
      </c>
      <c r="N201" s="530">
        <v>91.142838067284941</v>
      </c>
      <c r="O201" s="530">
        <v>93.084452727331239</v>
      </c>
      <c r="P201" s="530">
        <v>66.505217937908526</v>
      </c>
      <c r="Q201" s="530">
        <v>48.859686598584105</v>
      </c>
      <c r="R201" s="530">
        <v>32.251997231072814</v>
      </c>
      <c r="S201" s="530">
        <v>23.751284697489567</v>
      </c>
      <c r="T201" s="530">
        <v>702.447725619018</v>
      </c>
      <c r="U201" s="530" t="s">
        <v>61</v>
      </c>
    </row>
    <row r="202" spans="1:21" ht="13.8" x14ac:dyDescent="0.3">
      <c r="A202" s="530" t="str">
        <f t="shared" si="6"/>
        <v>Gwynedd.2014.Vehicle Numbers.SFR</v>
      </c>
      <c r="B202" s="530" t="s">
        <v>219</v>
      </c>
      <c r="C202" s="530" t="str">
        <f t="shared" si="7"/>
        <v>2014.Vehicle Numbers.SFR</v>
      </c>
      <c r="D202" s="530" t="s">
        <v>233</v>
      </c>
      <c r="E202" s="530" t="s">
        <v>22</v>
      </c>
      <c r="F202" s="530" t="s">
        <v>18</v>
      </c>
      <c r="G202" s="530" t="s">
        <v>18</v>
      </c>
      <c r="H202" s="530">
        <v>7.812681818181817</v>
      </c>
      <c r="I202" s="530">
        <v>3.1250727272727263</v>
      </c>
      <c r="J202" s="530">
        <v>3.4723030303030309</v>
      </c>
      <c r="K202" s="530">
        <v>6.5973757575757572</v>
      </c>
      <c r="L202" s="530">
        <v>5.2084545454545443</v>
      </c>
      <c r="M202" s="530">
        <v>4.2032228181818176</v>
      </c>
      <c r="N202" s="530">
        <v>5.7292999999999994</v>
      </c>
      <c r="O202" s="530">
        <v>5.8317329393939383</v>
      </c>
      <c r="P202" s="530">
        <v>3.5990420909090912</v>
      </c>
      <c r="Q202" s="530">
        <v>3.6459181818181814</v>
      </c>
      <c r="R202" s="530">
        <v>2.9948613636363626</v>
      </c>
      <c r="S202" s="530">
        <v>6.7709909090909086</v>
      </c>
      <c r="T202" s="530">
        <v>58.990956181818177</v>
      </c>
      <c r="U202" s="530" t="s">
        <v>61</v>
      </c>
    </row>
    <row r="203" spans="1:21" ht="13.8" x14ac:dyDescent="0.3">
      <c r="A203" s="530" t="str">
        <f t="shared" si="6"/>
        <v>Gwynedd.2014.Vehicle Numbers.Day Visitor</v>
      </c>
      <c r="B203" s="530" t="s">
        <v>219</v>
      </c>
      <c r="C203" s="530" t="str">
        <f t="shared" si="7"/>
        <v>2014.Vehicle Numbers.Day Visitor</v>
      </c>
      <c r="D203" s="530" t="s">
        <v>233</v>
      </c>
      <c r="E203" s="530" t="s">
        <v>22</v>
      </c>
      <c r="F203" s="530" t="s">
        <v>71</v>
      </c>
      <c r="G203" s="530" t="s">
        <v>71</v>
      </c>
      <c r="H203" s="530">
        <v>6.611389814800309</v>
      </c>
      <c r="I203" s="530">
        <v>23.73012721409993</v>
      </c>
      <c r="J203" s="530">
        <v>66.492627541433123</v>
      </c>
      <c r="K203" s="530">
        <v>93.829409819117345</v>
      </c>
      <c r="L203" s="530">
        <v>86.923213332044583</v>
      </c>
      <c r="M203" s="530">
        <v>131.70151643164519</v>
      </c>
      <c r="N203" s="530">
        <v>101.23148535904728</v>
      </c>
      <c r="O203" s="530">
        <v>132.8848833133946</v>
      </c>
      <c r="P203" s="530">
        <v>63.493489708812248</v>
      </c>
      <c r="Q203" s="530">
        <v>72.01116997976807</v>
      </c>
      <c r="R203" s="530">
        <v>20.659157875888603</v>
      </c>
      <c r="S203" s="530">
        <v>12.533014915458129</v>
      </c>
      <c r="T203" s="530">
        <v>812.10148530550941</v>
      </c>
      <c r="U203" s="530" t="s">
        <v>61</v>
      </c>
    </row>
    <row r="204" spans="1:21" ht="13.8" x14ac:dyDescent="0.3">
      <c r="A204" s="530" t="str">
        <f t="shared" si="6"/>
        <v>Gwynedd.2014.Vehicle Numbers.Total</v>
      </c>
      <c r="B204" s="530" t="s">
        <v>219</v>
      </c>
      <c r="C204" s="530" t="str">
        <f t="shared" si="7"/>
        <v>2014.Vehicle Numbers.Total</v>
      </c>
      <c r="D204" s="530" t="s">
        <v>233</v>
      </c>
      <c r="E204" s="530" t="s">
        <v>22</v>
      </c>
      <c r="F204" s="530" t="s">
        <v>54</v>
      </c>
      <c r="G204" s="530" t="s">
        <v>54</v>
      </c>
      <c r="H204" s="530">
        <v>46.536501338395212</v>
      </c>
      <c r="I204" s="530">
        <v>71.540423095589688</v>
      </c>
      <c r="J204" s="530">
        <v>160.52705908878431</v>
      </c>
      <c r="K204" s="530">
        <v>171.73353769629892</v>
      </c>
      <c r="L204" s="530">
        <v>174.3823342784558</v>
      </c>
      <c r="M204" s="530">
        <v>222.00840322619965</v>
      </c>
      <c r="N204" s="530">
        <v>215.37138641576172</v>
      </c>
      <c r="O204" s="530">
        <v>251.10783998441127</v>
      </c>
      <c r="P204" s="530">
        <v>147.56873636755012</v>
      </c>
      <c r="Q204" s="530">
        <v>136.59232387962919</v>
      </c>
      <c r="R204" s="530">
        <v>63.291087972496513</v>
      </c>
      <c r="S204" s="530">
        <v>48.359738788555831</v>
      </c>
      <c r="T204" s="530">
        <v>1709.0193721321286</v>
      </c>
      <c r="U204" s="530" t="s">
        <v>61</v>
      </c>
    </row>
    <row r="205" spans="1:21" ht="13.8" x14ac:dyDescent="0.3">
      <c r="A205" s="530" t="str">
        <f t="shared" si="6"/>
        <v>Gwynedd.2014.Accommodation.Serviced Accommodation</v>
      </c>
      <c r="B205" s="530" t="s">
        <v>219</v>
      </c>
      <c r="C205" s="530" t="str">
        <f t="shared" si="7"/>
        <v>2014.Accommodation.Serviced Accommodation</v>
      </c>
      <c r="D205" s="530" t="s">
        <v>233</v>
      </c>
      <c r="E205" s="530" t="s">
        <v>23</v>
      </c>
      <c r="F205" s="530" t="s">
        <v>43</v>
      </c>
      <c r="G205" s="530" t="s">
        <v>43</v>
      </c>
      <c r="H205" s="530">
        <v>5534</v>
      </c>
      <c r="I205" s="530">
        <v>5706</v>
      </c>
      <c r="J205" s="530">
        <v>6056</v>
      </c>
      <c r="K205" s="530">
        <v>6178</v>
      </c>
      <c r="L205" s="530">
        <v>6185</v>
      </c>
      <c r="M205" s="530">
        <v>6185</v>
      </c>
      <c r="N205" s="530">
        <v>6185</v>
      </c>
      <c r="O205" s="530">
        <v>6185</v>
      </c>
      <c r="P205" s="530">
        <v>6181</v>
      </c>
      <c r="Q205" s="530">
        <v>6145</v>
      </c>
      <c r="R205" s="530">
        <v>5846</v>
      </c>
      <c r="S205" s="530">
        <v>5742</v>
      </c>
      <c r="T205" s="530">
        <v>6185</v>
      </c>
      <c r="U205" s="530" t="s">
        <v>58</v>
      </c>
    </row>
    <row r="206" spans="1:21" ht="13.8" x14ac:dyDescent="0.3">
      <c r="A206" s="530" t="str">
        <f t="shared" si="6"/>
        <v>Gwynedd.2014.Accommodation.Non-Serviced Accommodation</v>
      </c>
      <c r="B206" s="530" t="s">
        <v>219</v>
      </c>
      <c r="C206" s="530" t="str">
        <f t="shared" si="7"/>
        <v>2014.Accommodation.Non-Serviced Accommodation</v>
      </c>
      <c r="D206" s="530" t="s">
        <v>233</v>
      </c>
      <c r="E206" s="530" t="s">
        <v>23</v>
      </c>
      <c r="F206" s="530" t="s">
        <v>48</v>
      </c>
      <c r="G206" s="530" t="s">
        <v>48</v>
      </c>
      <c r="H206" s="530">
        <v>44912</v>
      </c>
      <c r="I206" s="530">
        <v>45290</v>
      </c>
      <c r="J206" s="530">
        <v>87580</v>
      </c>
      <c r="K206" s="530">
        <v>97953</v>
      </c>
      <c r="L206" s="530">
        <v>98095</v>
      </c>
      <c r="M206" s="530">
        <v>98107</v>
      </c>
      <c r="N206" s="530">
        <v>98107</v>
      </c>
      <c r="O206" s="530">
        <v>98107</v>
      </c>
      <c r="P206" s="530">
        <v>98067</v>
      </c>
      <c r="Q206" s="530">
        <v>96493</v>
      </c>
      <c r="R206" s="530">
        <v>63897</v>
      </c>
      <c r="S206" s="530">
        <v>55691</v>
      </c>
      <c r="T206" s="530">
        <v>98107</v>
      </c>
      <c r="U206" s="530" t="s">
        <v>58</v>
      </c>
    </row>
    <row r="207" spans="1:21" ht="13.8" x14ac:dyDescent="0.3">
      <c r="A207" s="530" t="str">
        <f t="shared" si="6"/>
        <v>Gwynedd.2014.Accommodation.Total</v>
      </c>
      <c r="B207" s="530" t="s">
        <v>219</v>
      </c>
      <c r="C207" s="530" t="str">
        <f t="shared" si="7"/>
        <v>2014.Accommodation.Total</v>
      </c>
      <c r="D207" s="530" t="s">
        <v>233</v>
      </c>
      <c r="E207" s="530" t="s">
        <v>23</v>
      </c>
      <c r="F207" s="530" t="s">
        <v>54</v>
      </c>
      <c r="G207" s="530" t="s">
        <v>54</v>
      </c>
      <c r="H207" s="530">
        <v>50446</v>
      </c>
      <c r="I207" s="530">
        <v>50996</v>
      </c>
      <c r="J207" s="530">
        <v>93636</v>
      </c>
      <c r="K207" s="530">
        <v>104131</v>
      </c>
      <c r="L207" s="530">
        <v>104280</v>
      </c>
      <c r="M207" s="530">
        <v>104292</v>
      </c>
      <c r="N207" s="530">
        <v>104292</v>
      </c>
      <c r="O207" s="530">
        <v>104292</v>
      </c>
      <c r="P207" s="530">
        <v>104248</v>
      </c>
      <c r="Q207" s="530">
        <v>102638</v>
      </c>
      <c r="R207" s="530">
        <v>69743</v>
      </c>
      <c r="S207" s="530">
        <v>61433</v>
      </c>
      <c r="T207" s="530">
        <v>104292</v>
      </c>
      <c r="U207" s="530" t="s">
        <v>58</v>
      </c>
    </row>
    <row r="208" spans="1:21" ht="13.8" x14ac:dyDescent="0.3">
      <c r="A208" s="530" t="str">
        <f t="shared" si="6"/>
        <v>Gwynedd.2014.Economic Impact.Total</v>
      </c>
      <c r="B208" s="530" t="s">
        <v>219</v>
      </c>
      <c r="C208" s="530" t="str">
        <f t="shared" si="7"/>
        <v>2014.Economic Impact.Total</v>
      </c>
      <c r="D208" s="530" t="s">
        <v>233</v>
      </c>
      <c r="E208" s="530" t="s">
        <v>17</v>
      </c>
      <c r="F208" s="530" t="s">
        <v>54</v>
      </c>
      <c r="G208" s="530" t="s">
        <v>54</v>
      </c>
      <c r="H208" s="530">
        <v>20298.594404955795</v>
      </c>
      <c r="I208" s="530">
        <v>30244.349217908257</v>
      </c>
      <c r="J208" s="530">
        <v>77587.67823052303</v>
      </c>
      <c r="K208" s="530">
        <v>88388.942204201245</v>
      </c>
      <c r="L208" s="530">
        <v>97764.864584693089</v>
      </c>
      <c r="M208" s="530">
        <v>107660.69798443938</v>
      </c>
      <c r="N208" s="530">
        <v>145747.0864369605</v>
      </c>
      <c r="O208" s="530">
        <v>166348.97274398548</v>
      </c>
      <c r="P208" s="530">
        <v>105884.85199193921</v>
      </c>
      <c r="Q208" s="530">
        <v>72392.894001284672</v>
      </c>
      <c r="R208" s="530">
        <v>30090.322891518535</v>
      </c>
      <c r="S208" s="530">
        <v>32864.114531674648</v>
      </c>
      <c r="T208" s="530">
        <v>975273.36922408396</v>
      </c>
      <c r="U208" s="530" t="s">
        <v>57</v>
      </c>
    </row>
    <row r="209" spans="1:21" ht="13.8" x14ac:dyDescent="0.3">
      <c r="A209" s="530" t="str">
        <f t="shared" si="6"/>
        <v>Gwynedd.2015.Economic Impact.Indirect Expenditure</v>
      </c>
      <c r="B209" s="530" t="s">
        <v>219</v>
      </c>
      <c r="C209" s="530" t="str">
        <f t="shared" si="7"/>
        <v>2015.Economic Impact.Indirect Expenditure</v>
      </c>
      <c r="D209" s="530" t="s">
        <v>234</v>
      </c>
      <c r="E209" s="530" t="s">
        <v>17</v>
      </c>
      <c r="F209" s="530" t="s">
        <v>45</v>
      </c>
      <c r="G209" s="530" t="s">
        <v>45</v>
      </c>
      <c r="H209" s="530">
        <v>4791.3061458799257</v>
      </c>
      <c r="I209" s="530">
        <v>7233.9648790819765</v>
      </c>
      <c r="J209" s="530">
        <v>20002.374010526852</v>
      </c>
      <c r="K209" s="530">
        <v>20555.844288354623</v>
      </c>
      <c r="L209" s="530">
        <v>24240.859683637842</v>
      </c>
      <c r="M209" s="530">
        <v>26694.474149859561</v>
      </c>
      <c r="N209" s="530">
        <v>38546.426986246726</v>
      </c>
      <c r="O209" s="530">
        <v>44079.364085559253</v>
      </c>
      <c r="P209" s="530">
        <v>23894.149189231008</v>
      </c>
      <c r="Q209" s="530">
        <v>19151.47886643036</v>
      </c>
      <c r="R209" s="530">
        <v>10135.380374885108</v>
      </c>
      <c r="S209" s="530">
        <v>7733.4855737620246</v>
      </c>
      <c r="T209" s="530">
        <v>247059.10823345525</v>
      </c>
      <c r="U209" s="530" t="s">
        <v>57</v>
      </c>
    </row>
    <row r="210" spans="1:21" ht="13.8" x14ac:dyDescent="0.3">
      <c r="A210" s="530" t="str">
        <f t="shared" si="6"/>
        <v>Gwynedd.2015.Economic Impact.Direct Revenue</v>
      </c>
      <c r="B210" s="530" t="s">
        <v>219</v>
      </c>
      <c r="C210" s="530" t="str">
        <f t="shared" si="7"/>
        <v>2015.Economic Impact.Direct Revenue</v>
      </c>
      <c r="D210" s="530" t="s">
        <v>234</v>
      </c>
      <c r="E210" s="530" t="s">
        <v>17</v>
      </c>
      <c r="F210" s="530" t="s">
        <v>46</v>
      </c>
      <c r="G210" s="530" t="s">
        <v>46</v>
      </c>
      <c r="H210" s="530">
        <v>11765.404299525435</v>
      </c>
      <c r="I210" s="530">
        <v>17616.86422230582</v>
      </c>
      <c r="J210" s="530">
        <v>49018.295225185211</v>
      </c>
      <c r="K210" s="530">
        <v>49461.702961929637</v>
      </c>
      <c r="L210" s="530">
        <v>58438.159249983917</v>
      </c>
      <c r="M210" s="530">
        <v>64141.711100758876</v>
      </c>
      <c r="N210" s="530">
        <v>93114.639307923295</v>
      </c>
      <c r="O210" s="530">
        <v>106404.81956339028</v>
      </c>
      <c r="P210" s="530">
        <v>57469.118765636224</v>
      </c>
      <c r="Q210" s="530">
        <v>46056.583961154225</v>
      </c>
      <c r="R210" s="530">
        <v>25124.163050422525</v>
      </c>
      <c r="S210" s="530">
        <v>18784.621871092444</v>
      </c>
      <c r="T210" s="530">
        <v>597396.083579308</v>
      </c>
      <c r="U210" s="530" t="s">
        <v>57</v>
      </c>
    </row>
    <row r="211" spans="1:21" ht="13.8" x14ac:dyDescent="0.3">
      <c r="A211" s="530" t="str">
        <f t="shared" si="6"/>
        <v>Gwynedd.2015.Economic Impact.VAT</v>
      </c>
      <c r="B211" s="530" t="s">
        <v>219</v>
      </c>
      <c r="C211" s="530" t="str">
        <f t="shared" si="7"/>
        <v>2015.Economic Impact.VAT</v>
      </c>
      <c r="D211" s="530" t="s">
        <v>234</v>
      </c>
      <c r="E211" s="530" t="s">
        <v>17</v>
      </c>
      <c r="F211" s="530" t="s">
        <v>47</v>
      </c>
      <c r="G211" s="530" t="s">
        <v>47</v>
      </c>
      <c r="H211" s="530">
        <v>2353.0808599050874</v>
      </c>
      <c r="I211" s="530">
        <v>3523.3728444611638</v>
      </c>
      <c r="J211" s="530">
        <v>9803.6590450370422</v>
      </c>
      <c r="K211" s="530">
        <v>9892.3405923859282</v>
      </c>
      <c r="L211" s="530">
        <v>11687.631849996784</v>
      </c>
      <c r="M211" s="530">
        <v>12828.342220151779</v>
      </c>
      <c r="N211" s="530">
        <v>18622.92786158466</v>
      </c>
      <c r="O211" s="530">
        <v>21280.963912678057</v>
      </c>
      <c r="P211" s="530">
        <v>11493.823753127244</v>
      </c>
      <c r="Q211" s="530">
        <v>9211.3167922308457</v>
      </c>
      <c r="R211" s="530">
        <v>5024.8326100845061</v>
      </c>
      <c r="S211" s="530">
        <v>3756.9243742184899</v>
      </c>
      <c r="T211" s="530">
        <v>119479.21671586158</v>
      </c>
      <c r="U211" s="530" t="s">
        <v>57</v>
      </c>
    </row>
    <row r="212" spans="1:21" ht="13.8" x14ac:dyDescent="0.3">
      <c r="A212" s="530" t="str">
        <f t="shared" si="6"/>
        <v>Gwynedd.2015.Economic Impact.Serviced Accommodation</v>
      </c>
      <c r="B212" s="530" t="s">
        <v>219</v>
      </c>
      <c r="C212" s="530" t="str">
        <f t="shared" si="7"/>
        <v>2015.Economic Impact.Serviced Accommodation</v>
      </c>
      <c r="D212" s="530" t="s">
        <v>234</v>
      </c>
      <c r="E212" s="530" t="s">
        <v>17</v>
      </c>
      <c r="F212" s="530" t="s">
        <v>43</v>
      </c>
      <c r="G212" s="530" t="s">
        <v>43</v>
      </c>
      <c r="H212" s="530">
        <v>2606.8631574392225</v>
      </c>
      <c r="I212" s="530">
        <v>3290.7471497112656</v>
      </c>
      <c r="J212" s="530">
        <v>5040.7449809160435</v>
      </c>
      <c r="K212" s="530">
        <v>6832.6738802788068</v>
      </c>
      <c r="L212" s="530">
        <v>7872.1549664099521</v>
      </c>
      <c r="M212" s="530">
        <v>8399.441976657472</v>
      </c>
      <c r="N212" s="530">
        <v>14129.687409646025</v>
      </c>
      <c r="O212" s="530">
        <v>15261.022604162397</v>
      </c>
      <c r="P212" s="530">
        <v>11345.508369572184</v>
      </c>
      <c r="Q212" s="530">
        <v>7574.7819187701307</v>
      </c>
      <c r="R212" s="530">
        <v>4140.1607791393171</v>
      </c>
      <c r="S212" s="530">
        <v>3134.0849271681736</v>
      </c>
      <c r="T212" s="530">
        <v>89627.872119870983</v>
      </c>
      <c r="U212" s="530" t="s">
        <v>57</v>
      </c>
    </row>
    <row r="213" spans="1:21" ht="13.8" x14ac:dyDescent="0.3">
      <c r="A213" s="530" t="str">
        <f t="shared" si="6"/>
        <v>Gwynedd.2015.Economic Impact.Non-Serviced Accommodation</v>
      </c>
      <c r="B213" s="530" t="s">
        <v>219</v>
      </c>
      <c r="C213" s="530" t="str">
        <f t="shared" si="7"/>
        <v>2015.Economic Impact.Non-Serviced Accommodation</v>
      </c>
      <c r="D213" s="530" t="s">
        <v>234</v>
      </c>
      <c r="E213" s="530" t="s">
        <v>17</v>
      </c>
      <c r="F213" s="530" t="s">
        <v>48</v>
      </c>
      <c r="G213" s="530" t="s">
        <v>48</v>
      </c>
      <c r="H213" s="530">
        <v>12949.769734195193</v>
      </c>
      <c r="I213" s="530">
        <v>20097.502745309102</v>
      </c>
      <c r="J213" s="530">
        <v>60598.992728344761</v>
      </c>
      <c r="K213" s="530">
        <v>52485.474904289644</v>
      </c>
      <c r="L213" s="530">
        <v>67419.458814807207</v>
      </c>
      <c r="M213" s="530">
        <v>71518.722285135242</v>
      </c>
      <c r="N213" s="530">
        <v>114670.91845211625</v>
      </c>
      <c r="O213" s="530">
        <v>127738.68991530556</v>
      </c>
      <c r="P213" s="530">
        <v>67768.590676721346</v>
      </c>
      <c r="Q213" s="530">
        <v>53074.922123015327</v>
      </c>
      <c r="R213" s="530">
        <v>31807.318247301457</v>
      </c>
      <c r="S213" s="530">
        <v>22762.593612178247</v>
      </c>
      <c r="T213" s="530">
        <v>702892.95423871931</v>
      </c>
      <c r="U213" s="530" t="s">
        <v>57</v>
      </c>
    </row>
    <row r="214" spans="1:21" ht="13.8" x14ac:dyDescent="0.3">
      <c r="A214" s="530" t="str">
        <f t="shared" si="6"/>
        <v>Gwynedd.2015.Economic Impact.SFR</v>
      </c>
      <c r="B214" s="530" t="s">
        <v>219</v>
      </c>
      <c r="C214" s="530" t="str">
        <f t="shared" si="7"/>
        <v>2015.Economic Impact.SFR</v>
      </c>
      <c r="D214" s="530" t="s">
        <v>234</v>
      </c>
      <c r="E214" s="530" t="s">
        <v>17</v>
      </c>
      <c r="F214" s="530" t="s">
        <v>18</v>
      </c>
      <c r="G214" s="530" t="s">
        <v>18</v>
      </c>
      <c r="H214" s="530">
        <v>1977.4520573054888</v>
      </c>
      <c r="I214" s="530">
        <v>664.42389125464422</v>
      </c>
      <c r="J214" s="530">
        <v>755.82611968120932</v>
      </c>
      <c r="K214" s="530">
        <v>1803.4362762626056</v>
      </c>
      <c r="L214" s="530">
        <v>1160.1052069525535</v>
      </c>
      <c r="M214" s="530">
        <v>893.65013373749673</v>
      </c>
      <c r="N214" s="530">
        <v>1450.131508690692</v>
      </c>
      <c r="O214" s="530">
        <v>1535.1004264241562</v>
      </c>
      <c r="P214" s="530">
        <v>790.7013430314297</v>
      </c>
      <c r="Q214" s="530">
        <v>789.92618182496608</v>
      </c>
      <c r="R214" s="530">
        <v>615.51491037062169</v>
      </c>
      <c r="S214" s="530">
        <v>1782.3434543180142</v>
      </c>
      <c r="T214" s="530">
        <v>14218.611509853878</v>
      </c>
      <c r="U214" s="530" t="s">
        <v>57</v>
      </c>
    </row>
    <row r="215" spans="1:21" ht="13.8" x14ac:dyDescent="0.3">
      <c r="A215" s="530" t="str">
        <f t="shared" si="6"/>
        <v>Gwynedd.2015.Economic Impact.Day Visitor</v>
      </c>
      <c r="B215" s="530" t="s">
        <v>219</v>
      </c>
      <c r="C215" s="530" t="str">
        <f t="shared" si="7"/>
        <v>2015.Economic Impact.Day Visitor</v>
      </c>
      <c r="D215" s="530" t="s">
        <v>234</v>
      </c>
      <c r="E215" s="530" t="s">
        <v>17</v>
      </c>
      <c r="F215" s="530" t="s">
        <v>71</v>
      </c>
      <c r="G215" s="530" t="s">
        <v>71</v>
      </c>
      <c r="H215" s="530">
        <v>1375.7063563705428</v>
      </c>
      <c r="I215" s="530">
        <v>4321.5281595739434</v>
      </c>
      <c r="J215" s="530">
        <v>12428.764451807092</v>
      </c>
      <c r="K215" s="530">
        <v>18788.302781839124</v>
      </c>
      <c r="L215" s="530">
        <v>17914.931795448829</v>
      </c>
      <c r="M215" s="530">
        <v>22852.713075240012</v>
      </c>
      <c r="N215" s="530">
        <v>20033.256785301703</v>
      </c>
      <c r="O215" s="530">
        <v>27230.334615735486</v>
      </c>
      <c r="P215" s="530">
        <v>12952.291318669511</v>
      </c>
      <c r="Q215" s="530">
        <v>12979.749396205014</v>
      </c>
      <c r="R215" s="530">
        <v>3721.3820985807397</v>
      </c>
      <c r="S215" s="530">
        <v>2596.0098254085292</v>
      </c>
      <c r="T215" s="530">
        <v>157194.97066018049</v>
      </c>
      <c r="U215" s="530" t="s">
        <v>57</v>
      </c>
    </row>
    <row r="216" spans="1:21" ht="13.8" x14ac:dyDescent="0.3">
      <c r="A216" s="530" t="str">
        <f t="shared" si="6"/>
        <v>Gwynedd.2015.Economic Impact.Accommodation</v>
      </c>
      <c r="B216" s="530" t="s">
        <v>219</v>
      </c>
      <c r="C216" s="530" t="str">
        <f t="shared" si="7"/>
        <v>2015.Economic Impact.Accommodation</v>
      </c>
      <c r="D216" s="530" t="s">
        <v>234</v>
      </c>
      <c r="E216" s="530" t="s">
        <v>17</v>
      </c>
      <c r="F216" s="530" t="s">
        <v>23</v>
      </c>
      <c r="G216" s="530" t="s">
        <v>23</v>
      </c>
      <c r="H216" s="530">
        <v>2348.010238789795</v>
      </c>
      <c r="I216" s="530">
        <v>3480.5975068741845</v>
      </c>
      <c r="J216" s="530">
        <v>7803.5528591319708</v>
      </c>
      <c r="K216" s="530">
        <v>7435.3420032671502</v>
      </c>
      <c r="L216" s="530">
        <v>8919.7436298127996</v>
      </c>
      <c r="M216" s="530">
        <v>10198.99644925077</v>
      </c>
      <c r="N216" s="530">
        <v>22166.150241214717</v>
      </c>
      <c r="O216" s="530">
        <v>24998.972406476987</v>
      </c>
      <c r="P216" s="530">
        <v>15476.30321613707</v>
      </c>
      <c r="Q216" s="530">
        <v>7734.5296767122181</v>
      </c>
      <c r="R216" s="530">
        <v>4710.0667148304883</v>
      </c>
      <c r="S216" s="530">
        <v>3836.6443751062661</v>
      </c>
      <c r="T216" s="530">
        <v>119108.90931760441</v>
      </c>
      <c r="U216" s="530" t="s">
        <v>57</v>
      </c>
    </row>
    <row r="217" spans="1:21" ht="13.8" x14ac:dyDescent="0.3">
      <c r="A217" s="530" t="str">
        <f t="shared" si="6"/>
        <v>Gwynedd.2015.Economic Impact.Food &amp; Drink</v>
      </c>
      <c r="B217" s="530" t="s">
        <v>219</v>
      </c>
      <c r="C217" s="530" t="str">
        <f t="shared" si="7"/>
        <v>2015.Economic Impact.Food &amp; Drink</v>
      </c>
      <c r="D217" s="530" t="s">
        <v>234</v>
      </c>
      <c r="E217" s="530" t="s">
        <v>17</v>
      </c>
      <c r="F217" s="530" t="s">
        <v>49</v>
      </c>
      <c r="G217" s="530" t="s">
        <v>49</v>
      </c>
      <c r="H217" s="530">
        <v>3326.2108711337983</v>
      </c>
      <c r="I217" s="530">
        <v>4472.6153866472241</v>
      </c>
      <c r="J217" s="530">
        <v>12826.943423435185</v>
      </c>
      <c r="K217" s="530">
        <v>13112.141532309666</v>
      </c>
      <c r="L217" s="530">
        <v>15611.846440953012</v>
      </c>
      <c r="M217" s="530">
        <v>16804.190087696999</v>
      </c>
      <c r="N217" s="530">
        <v>22529.434601509714</v>
      </c>
      <c r="O217" s="530">
        <v>25488.25606980006</v>
      </c>
      <c r="P217" s="530">
        <v>13609.56699640246</v>
      </c>
      <c r="Q217" s="530">
        <v>12202.446612009617</v>
      </c>
      <c r="R217" s="530">
        <v>6669.2876176175623</v>
      </c>
      <c r="S217" s="530">
        <v>4936.5250101489946</v>
      </c>
      <c r="T217" s="530">
        <v>151589.46464966427</v>
      </c>
      <c r="U217" s="530" t="s">
        <v>57</v>
      </c>
    </row>
    <row r="218" spans="1:21" ht="13.8" x14ac:dyDescent="0.3">
      <c r="A218" s="530" t="str">
        <f t="shared" si="6"/>
        <v>Gwynedd.2015.Economic Impact.Recreation</v>
      </c>
      <c r="B218" s="530" t="s">
        <v>219</v>
      </c>
      <c r="C218" s="530" t="str">
        <f t="shared" si="7"/>
        <v>2015.Economic Impact.Recreation</v>
      </c>
      <c r="D218" s="530" t="s">
        <v>234</v>
      </c>
      <c r="E218" s="530" t="s">
        <v>17</v>
      </c>
      <c r="F218" s="530" t="s">
        <v>50</v>
      </c>
      <c r="G218" s="530" t="s">
        <v>50</v>
      </c>
      <c r="H218" s="530">
        <v>856.60937275159904</v>
      </c>
      <c r="I218" s="530">
        <v>1640.5813796892328</v>
      </c>
      <c r="J218" s="530">
        <v>5341.7879129195917</v>
      </c>
      <c r="K218" s="530">
        <v>4204.3870237924093</v>
      </c>
      <c r="L218" s="530">
        <v>5305.8069273944457</v>
      </c>
      <c r="M218" s="530">
        <v>5746.1431579991931</v>
      </c>
      <c r="N218" s="530">
        <v>8300.992719350359</v>
      </c>
      <c r="O218" s="530">
        <v>9509.3268697662916</v>
      </c>
      <c r="P218" s="530">
        <v>4404.2260037115857</v>
      </c>
      <c r="Q218" s="530">
        <v>3942.3462753973467</v>
      </c>
      <c r="R218" s="530">
        <v>2584.1717361601777</v>
      </c>
      <c r="S218" s="530">
        <v>1724.256394286243</v>
      </c>
      <c r="T218" s="530">
        <v>53560.63577321847</v>
      </c>
      <c r="U218" s="530" t="s">
        <v>57</v>
      </c>
    </row>
    <row r="219" spans="1:21" ht="13.8" x14ac:dyDescent="0.3">
      <c r="A219" s="530" t="str">
        <f t="shared" si="6"/>
        <v>Gwynedd.2015.Economic Impact.Shopping</v>
      </c>
      <c r="B219" s="530" t="s">
        <v>219</v>
      </c>
      <c r="C219" s="530" t="str">
        <f t="shared" si="7"/>
        <v>2015.Economic Impact.Shopping</v>
      </c>
      <c r="D219" s="530" t="s">
        <v>234</v>
      </c>
      <c r="E219" s="530" t="s">
        <v>17</v>
      </c>
      <c r="F219" s="530" t="s">
        <v>51</v>
      </c>
      <c r="G219" s="530" t="s">
        <v>51</v>
      </c>
      <c r="H219" s="530">
        <v>3901.6173554140069</v>
      </c>
      <c r="I219" s="530">
        <v>5898.7916247025341</v>
      </c>
      <c r="J219" s="530">
        <v>16633.31367113056</v>
      </c>
      <c r="K219" s="530">
        <v>18587.811468967935</v>
      </c>
      <c r="L219" s="530">
        <v>21226.194806767493</v>
      </c>
      <c r="M219" s="530">
        <v>23432.131425211668</v>
      </c>
      <c r="N219" s="530">
        <v>29289.489449478948</v>
      </c>
      <c r="O219" s="530">
        <v>34036.0834879877</v>
      </c>
      <c r="P219" s="530">
        <v>17754.555754424928</v>
      </c>
      <c r="Q219" s="530">
        <v>16511.244379129905</v>
      </c>
      <c r="R219" s="530">
        <v>7987.6243806546245</v>
      </c>
      <c r="S219" s="530">
        <v>6054.6658460776616</v>
      </c>
      <c r="T219" s="530">
        <v>201313.52364994795</v>
      </c>
      <c r="U219" s="530" t="s">
        <v>57</v>
      </c>
    </row>
    <row r="220" spans="1:21" ht="13.8" x14ac:dyDescent="0.3">
      <c r="A220" s="530" t="str">
        <f t="shared" si="6"/>
        <v>Gwynedd.2015.Economic Impact.Transport</v>
      </c>
      <c r="B220" s="530" t="s">
        <v>219</v>
      </c>
      <c r="C220" s="530" t="str">
        <f t="shared" si="7"/>
        <v>2015.Economic Impact.Transport</v>
      </c>
      <c r="D220" s="530" t="s">
        <v>234</v>
      </c>
      <c r="E220" s="530" t="s">
        <v>17</v>
      </c>
      <c r="F220" s="530" t="s">
        <v>52</v>
      </c>
      <c r="G220" s="530" t="s">
        <v>52</v>
      </c>
      <c r="H220" s="530">
        <v>1332.956461436235</v>
      </c>
      <c r="I220" s="530">
        <v>2124.2783243926424</v>
      </c>
      <c r="J220" s="530">
        <v>6412.6973585679052</v>
      </c>
      <c r="K220" s="530">
        <v>6122.0209335924746</v>
      </c>
      <c r="L220" s="530">
        <v>7374.5674450561637</v>
      </c>
      <c r="M220" s="530">
        <v>7960.2499806002534</v>
      </c>
      <c r="N220" s="530">
        <v>10828.572296369555</v>
      </c>
      <c r="O220" s="530">
        <v>12372.180729359236</v>
      </c>
      <c r="P220" s="530">
        <v>6224.4667949601808</v>
      </c>
      <c r="Q220" s="530">
        <v>5666.0170179051429</v>
      </c>
      <c r="R220" s="530">
        <v>3173.0126011596744</v>
      </c>
      <c r="S220" s="530">
        <v>2232.5302454732828</v>
      </c>
      <c r="T220" s="530">
        <v>71823.550188872745</v>
      </c>
      <c r="U220" s="530" t="s">
        <v>57</v>
      </c>
    </row>
    <row r="221" spans="1:21" ht="13.8" x14ac:dyDescent="0.3">
      <c r="A221" s="530" t="str">
        <f t="shared" si="6"/>
        <v>Gwynedd.2015.Economic Impact.Direct Expenditure</v>
      </c>
      <c r="B221" s="530" t="s">
        <v>219</v>
      </c>
      <c r="C221" s="530" t="str">
        <f t="shared" si="7"/>
        <v>2015.Economic Impact.Direct Expenditure</v>
      </c>
      <c r="D221" s="530" t="s">
        <v>234</v>
      </c>
      <c r="E221" s="530" t="s">
        <v>17</v>
      </c>
      <c r="F221" s="530" t="s">
        <v>44</v>
      </c>
      <c r="G221" s="530" t="s">
        <v>44</v>
      </c>
      <c r="H221" s="530">
        <v>14118.485159430522</v>
      </c>
      <c r="I221" s="530">
        <v>21140.237066766978</v>
      </c>
      <c r="J221" s="530">
        <v>58821.954270222253</v>
      </c>
      <c r="K221" s="530">
        <v>59354.043554315547</v>
      </c>
      <c r="L221" s="530">
        <v>70125.791099980706</v>
      </c>
      <c r="M221" s="530">
        <v>76970.053320910651</v>
      </c>
      <c r="N221" s="530">
        <v>111737.56716950795</v>
      </c>
      <c r="O221" s="530">
        <v>127685.78347606835</v>
      </c>
      <c r="P221" s="530">
        <v>68962.942518763462</v>
      </c>
      <c r="Q221" s="530">
        <v>55267.900753385067</v>
      </c>
      <c r="R221" s="530">
        <v>30148.995660507026</v>
      </c>
      <c r="S221" s="530">
        <v>22541.546245310939</v>
      </c>
      <c r="T221" s="530">
        <v>716875.30029516947</v>
      </c>
      <c r="U221" s="530" t="s">
        <v>57</v>
      </c>
    </row>
    <row r="222" spans="1:21" ht="13.8" x14ac:dyDescent="0.3">
      <c r="A222" s="530" t="str">
        <f t="shared" si="6"/>
        <v>Gwynedd.2015.Population.Total</v>
      </c>
      <c r="B222" s="530" t="s">
        <v>219</v>
      </c>
      <c r="C222" s="530" t="str">
        <f t="shared" si="7"/>
        <v>2015.Population.Total</v>
      </c>
      <c r="D222" s="530" t="s">
        <v>234</v>
      </c>
      <c r="E222" s="530" t="s">
        <v>19</v>
      </c>
      <c r="F222" s="530" t="s">
        <v>54</v>
      </c>
      <c r="G222" s="530" t="s">
        <v>54</v>
      </c>
      <c r="H222" s="530">
        <v>122273</v>
      </c>
      <c r="I222" s="530">
        <v>122273</v>
      </c>
      <c r="J222" s="530">
        <v>122273</v>
      </c>
      <c r="K222" s="530">
        <v>122273</v>
      </c>
      <c r="L222" s="530">
        <v>122273</v>
      </c>
      <c r="M222" s="530">
        <v>122273</v>
      </c>
      <c r="N222" s="530">
        <v>122273</v>
      </c>
      <c r="O222" s="530">
        <v>122273</v>
      </c>
      <c r="P222" s="530">
        <v>122273</v>
      </c>
      <c r="Q222" s="530">
        <v>122273</v>
      </c>
      <c r="R222" s="530">
        <v>122273</v>
      </c>
      <c r="S222" s="530">
        <v>122273</v>
      </c>
      <c r="T222" s="530">
        <v>122273</v>
      </c>
      <c r="U222" s="530" t="s">
        <v>60</v>
      </c>
    </row>
    <row r="223" spans="1:21" ht="13.8" x14ac:dyDescent="0.3">
      <c r="A223" s="530" t="str">
        <f t="shared" si="6"/>
        <v>Gwynedd.2015.Employment.Serviced Accommodation</v>
      </c>
      <c r="B223" s="530" t="s">
        <v>219</v>
      </c>
      <c r="C223" s="530" t="str">
        <f t="shared" si="7"/>
        <v>2015.Employment.Serviced Accommodation</v>
      </c>
      <c r="D223" s="530" t="s">
        <v>234</v>
      </c>
      <c r="E223" s="530" t="s">
        <v>20</v>
      </c>
      <c r="F223" s="530" t="s">
        <v>43</v>
      </c>
      <c r="G223" s="530" t="s">
        <v>43</v>
      </c>
      <c r="H223" s="530">
        <v>1333.6759068501947</v>
      </c>
      <c r="I223" s="530">
        <v>1420.607447476179</v>
      </c>
      <c r="J223" s="530">
        <v>1620.5028418010615</v>
      </c>
      <c r="K223" s="530">
        <v>1764.2931810728201</v>
      </c>
      <c r="L223" s="530">
        <v>1828.466998459171</v>
      </c>
      <c r="M223" s="530">
        <v>1860.2745662659208</v>
      </c>
      <c r="N223" s="530">
        <v>1980.3928825707535</v>
      </c>
      <c r="O223" s="530">
        <v>2071.8467012378387</v>
      </c>
      <c r="P223" s="530">
        <v>1838.6891247366482</v>
      </c>
      <c r="Q223" s="530">
        <v>1802.7427934803204</v>
      </c>
      <c r="R223" s="530">
        <v>1502.0708653228044</v>
      </c>
      <c r="S223" s="530">
        <v>1422.5106171142868</v>
      </c>
      <c r="T223" s="530">
        <v>1703.8394938656666</v>
      </c>
      <c r="U223" s="530" t="s">
        <v>59</v>
      </c>
    </row>
    <row r="224" spans="1:21" ht="13.8" x14ac:dyDescent="0.3">
      <c r="A224" s="530" t="str">
        <f t="shared" si="6"/>
        <v>Gwynedd.2015.Employment.Non-Serviced Accommodation</v>
      </c>
      <c r="B224" s="530" t="s">
        <v>219</v>
      </c>
      <c r="C224" s="530" t="str">
        <f t="shared" si="7"/>
        <v>2015.Employment.Non-Serviced Accommodation</v>
      </c>
      <c r="D224" s="530" t="s">
        <v>234</v>
      </c>
      <c r="E224" s="530" t="s">
        <v>20</v>
      </c>
      <c r="F224" s="530" t="s">
        <v>48</v>
      </c>
      <c r="G224" s="530" t="s">
        <v>48</v>
      </c>
      <c r="H224" s="530">
        <v>4091.3769630981778</v>
      </c>
      <c r="I224" s="530">
        <v>4772.3262866514842</v>
      </c>
      <c r="J224" s="530">
        <v>9368.9433864696493</v>
      </c>
      <c r="K224" s="530">
        <v>8713.0216721002616</v>
      </c>
      <c r="L224" s="530">
        <v>10359.205451747908</v>
      </c>
      <c r="M224" s="530">
        <v>10645.379609381311</v>
      </c>
      <c r="N224" s="530">
        <v>14504.356909768027</v>
      </c>
      <c r="O224" s="530">
        <v>17318.186925822345</v>
      </c>
      <c r="P224" s="530">
        <v>9513.0220322561981</v>
      </c>
      <c r="Q224" s="530">
        <v>8751.113636402868</v>
      </c>
      <c r="R224" s="530">
        <v>6162.3620018195943</v>
      </c>
      <c r="S224" s="530">
        <v>5092.0365798516168</v>
      </c>
      <c r="T224" s="530">
        <v>9107.6109546141197</v>
      </c>
      <c r="U224" s="530" t="s">
        <v>59</v>
      </c>
    </row>
    <row r="225" spans="1:21" ht="13.8" x14ac:dyDescent="0.3">
      <c r="A225" s="530" t="str">
        <f t="shared" si="6"/>
        <v>Gwynedd.2015.Employment.SFR</v>
      </c>
      <c r="B225" s="530" t="s">
        <v>219</v>
      </c>
      <c r="C225" s="530" t="str">
        <f t="shared" si="7"/>
        <v>2015.Employment.SFR</v>
      </c>
      <c r="D225" s="530" t="s">
        <v>234</v>
      </c>
      <c r="E225" s="530" t="s">
        <v>20</v>
      </c>
      <c r="F225" s="530" t="s">
        <v>18</v>
      </c>
      <c r="G225" s="530" t="s">
        <v>18</v>
      </c>
      <c r="H225" s="530">
        <v>255.93701347365268</v>
      </c>
      <c r="I225" s="530">
        <v>85.994836527147314</v>
      </c>
      <c r="J225" s="530">
        <v>97.824814038818388</v>
      </c>
      <c r="K225" s="530">
        <v>233.41455628797124</v>
      </c>
      <c r="L225" s="530">
        <v>150.14971457120961</v>
      </c>
      <c r="M225" s="530">
        <v>115.66305512901317</v>
      </c>
      <c r="N225" s="530">
        <v>187.68714321401202</v>
      </c>
      <c r="O225" s="530">
        <v>198.68447230851547</v>
      </c>
      <c r="P225" s="530">
        <v>102.3386329582235</v>
      </c>
      <c r="Q225" s="530">
        <v>102.2383056489418</v>
      </c>
      <c r="R225" s="530">
        <v>79.664661060565621</v>
      </c>
      <c r="S225" s="530">
        <v>230.68456147758567</v>
      </c>
      <c r="T225" s="530">
        <v>153.35681389130471</v>
      </c>
      <c r="U225" s="530" t="s">
        <v>59</v>
      </c>
    </row>
    <row r="226" spans="1:21" ht="13.8" x14ac:dyDescent="0.3">
      <c r="A226" s="530" t="str">
        <f t="shared" si="6"/>
        <v>Gwynedd.2015.Employment.Day Visitor</v>
      </c>
      <c r="B226" s="530" t="s">
        <v>219</v>
      </c>
      <c r="C226" s="530" t="str">
        <f t="shared" si="7"/>
        <v>2015.Employment.Day Visitor</v>
      </c>
      <c r="D226" s="530" t="s">
        <v>234</v>
      </c>
      <c r="E226" s="530" t="s">
        <v>20</v>
      </c>
      <c r="F226" s="530" t="s">
        <v>71</v>
      </c>
      <c r="G226" s="530" t="s">
        <v>71</v>
      </c>
      <c r="H226" s="530">
        <v>163.28338626153024</v>
      </c>
      <c r="I226" s="530">
        <v>512.92468661802968</v>
      </c>
      <c r="J226" s="530">
        <v>1475.177269727885</v>
      </c>
      <c r="K226" s="530">
        <v>2229.99456687784</v>
      </c>
      <c r="L226" s="530">
        <v>2126.333657367607</v>
      </c>
      <c r="M226" s="530">
        <v>2712.4017846605602</v>
      </c>
      <c r="N226" s="530">
        <v>2377.758880449469</v>
      </c>
      <c r="O226" s="530">
        <v>3231.9842272316041</v>
      </c>
      <c r="P226" s="530">
        <v>1537.3149775492768</v>
      </c>
      <c r="Q226" s="530">
        <v>1540.5739927158982</v>
      </c>
      <c r="R226" s="530">
        <v>441.69300215520474</v>
      </c>
      <c r="S226" s="530">
        <v>308.12191358861196</v>
      </c>
      <c r="T226" s="530">
        <v>1554.7968621002929</v>
      </c>
      <c r="U226" s="530" t="s">
        <v>59</v>
      </c>
    </row>
    <row r="227" spans="1:21" ht="13.8" x14ac:dyDescent="0.3">
      <c r="A227" s="530" t="str">
        <f t="shared" si="6"/>
        <v>Gwynedd.2015.Employment.Direct Employment</v>
      </c>
      <c r="B227" s="530" t="s">
        <v>219</v>
      </c>
      <c r="C227" s="530" t="str">
        <f t="shared" si="7"/>
        <v>2015.Employment.Direct Employment</v>
      </c>
      <c r="D227" s="530" t="s">
        <v>234</v>
      </c>
      <c r="E227" s="530" t="s">
        <v>20</v>
      </c>
      <c r="F227" s="530" t="s">
        <v>55</v>
      </c>
      <c r="G227" s="530" t="s">
        <v>55</v>
      </c>
      <c r="H227" s="530">
        <v>5844.2732696835556</v>
      </c>
      <c r="I227" s="530">
        <v>6791.85325727284</v>
      </c>
      <c r="J227" s="530">
        <v>12562.448312037413</v>
      </c>
      <c r="K227" s="530">
        <v>12940.723976338893</v>
      </c>
      <c r="L227" s="530">
        <v>14464.155822145894</v>
      </c>
      <c r="M227" s="530">
        <v>15333.719015436805</v>
      </c>
      <c r="N227" s="530">
        <v>19050.195816002259</v>
      </c>
      <c r="O227" s="530">
        <v>22820.702326600305</v>
      </c>
      <c r="P227" s="530">
        <v>12991.364767500345</v>
      </c>
      <c r="Q227" s="530">
        <v>12196.668728248027</v>
      </c>
      <c r="R227" s="530">
        <v>8185.7905303581692</v>
      </c>
      <c r="S227" s="530">
        <v>7053.3536720321017</v>
      </c>
      <c r="T227" s="530">
        <v>12519.604124471385</v>
      </c>
      <c r="U227" s="530" t="s">
        <v>59</v>
      </c>
    </row>
    <row r="228" spans="1:21" ht="13.8" x14ac:dyDescent="0.3">
      <c r="A228" s="530" t="str">
        <f t="shared" si="6"/>
        <v>Gwynedd.2015.Employment.Indirect Employment</v>
      </c>
      <c r="B228" s="530" t="s">
        <v>219</v>
      </c>
      <c r="C228" s="530" t="str">
        <f t="shared" si="7"/>
        <v>2015.Employment.Indirect Employment</v>
      </c>
      <c r="D228" s="530" t="s">
        <v>234</v>
      </c>
      <c r="E228" s="530" t="s">
        <v>20</v>
      </c>
      <c r="F228" s="530" t="s">
        <v>53</v>
      </c>
      <c r="G228" s="530" t="s">
        <v>53</v>
      </c>
      <c r="H228" s="530">
        <v>633.74814941761986</v>
      </c>
      <c r="I228" s="530">
        <v>956.83968326935428</v>
      </c>
      <c r="J228" s="530">
        <v>2645.722716765044</v>
      </c>
      <c r="K228" s="530">
        <v>2718.9304713212055</v>
      </c>
      <c r="L228" s="530">
        <v>3206.3490616244735</v>
      </c>
      <c r="M228" s="530">
        <v>3530.8897150513985</v>
      </c>
      <c r="N228" s="530">
        <v>5098.5526754957373</v>
      </c>
      <c r="O228" s="530">
        <v>5830.396673932084</v>
      </c>
      <c r="P228" s="530">
        <v>3160.4895136173095</v>
      </c>
      <c r="Q228" s="530">
        <v>2533.1744456880015</v>
      </c>
      <c r="R228" s="530">
        <v>1340.6111737924571</v>
      </c>
      <c r="S228" s="530">
        <v>1022.9115029800412</v>
      </c>
      <c r="T228" s="530">
        <v>2723.2179819128937</v>
      </c>
      <c r="U228" s="530" t="s">
        <v>59</v>
      </c>
    </row>
    <row r="229" spans="1:21" ht="13.8" x14ac:dyDescent="0.3">
      <c r="A229" s="530" t="str">
        <f t="shared" si="6"/>
        <v>Gwynedd.2015.Employment.Total</v>
      </c>
      <c r="B229" s="530" t="s">
        <v>219</v>
      </c>
      <c r="C229" s="530" t="str">
        <f t="shared" si="7"/>
        <v>2015.Employment.Total</v>
      </c>
      <c r="D229" s="530" t="s">
        <v>234</v>
      </c>
      <c r="E229" s="530" t="s">
        <v>20</v>
      </c>
      <c r="F229" s="530" t="s">
        <v>54</v>
      </c>
      <c r="G229" s="530" t="s">
        <v>54</v>
      </c>
      <c r="H229" s="530">
        <v>6478.0214191011755</v>
      </c>
      <c r="I229" s="530">
        <v>7748.6929405421943</v>
      </c>
      <c r="J229" s="530">
        <v>15208.171028802457</v>
      </c>
      <c r="K229" s="530">
        <v>15659.654447660099</v>
      </c>
      <c r="L229" s="530">
        <v>17670.504883770369</v>
      </c>
      <c r="M229" s="530">
        <v>18864.608730488202</v>
      </c>
      <c r="N229" s="530">
        <v>24148.748491497994</v>
      </c>
      <c r="O229" s="530">
        <v>28651.099000532391</v>
      </c>
      <c r="P229" s="530">
        <v>16151.854281117654</v>
      </c>
      <c r="Q229" s="530">
        <v>14729.843173936028</v>
      </c>
      <c r="R229" s="530">
        <v>9526.4017041506268</v>
      </c>
      <c r="S229" s="530">
        <v>8076.2651750121431</v>
      </c>
      <c r="T229" s="530">
        <v>15242.822106384279</v>
      </c>
      <c r="U229" s="530" t="s">
        <v>59</v>
      </c>
    </row>
    <row r="230" spans="1:21" ht="13.8" x14ac:dyDescent="0.3">
      <c r="A230" s="530" t="str">
        <f t="shared" si="6"/>
        <v>Gwynedd.2015.Employment.Accommodation</v>
      </c>
      <c r="B230" s="530" t="s">
        <v>219</v>
      </c>
      <c r="C230" s="530" t="str">
        <f t="shared" si="7"/>
        <v>2015.Employment.Accommodation</v>
      </c>
      <c r="D230" s="530" t="s">
        <v>234</v>
      </c>
      <c r="E230" s="530" t="s">
        <v>20</v>
      </c>
      <c r="F230" s="530" t="s">
        <v>23</v>
      </c>
      <c r="G230" s="530" t="s">
        <v>23</v>
      </c>
      <c r="H230" s="530">
        <v>3953.5</v>
      </c>
      <c r="I230" s="530">
        <v>3994.9</v>
      </c>
      <c r="J230" s="530">
        <v>4429</v>
      </c>
      <c r="K230" s="530">
        <v>4640.5</v>
      </c>
      <c r="L230" s="530">
        <v>4677.2</v>
      </c>
      <c r="M230" s="530">
        <v>4681.7</v>
      </c>
      <c r="N230" s="530">
        <v>5020.4621783616331</v>
      </c>
      <c r="O230" s="530">
        <v>6746.0465713448675</v>
      </c>
      <c r="P230" s="530">
        <v>4663.5</v>
      </c>
      <c r="Q230" s="530">
        <v>4614.1955955173316</v>
      </c>
      <c r="R230" s="530">
        <v>4134.6000000000004</v>
      </c>
      <c r="S230" s="530">
        <v>4079</v>
      </c>
      <c r="T230" s="530">
        <v>4636.2170287686522</v>
      </c>
      <c r="U230" s="530" t="s">
        <v>59</v>
      </c>
    </row>
    <row r="231" spans="1:21" ht="13.8" x14ac:dyDescent="0.3">
      <c r="A231" s="530" t="str">
        <f t="shared" si="6"/>
        <v>Gwynedd.2015.Employment.Food &amp; Drink</v>
      </c>
      <c r="B231" s="530" t="s">
        <v>219</v>
      </c>
      <c r="C231" s="530" t="str">
        <f t="shared" si="7"/>
        <v>2015.Employment.Food &amp; Drink</v>
      </c>
      <c r="D231" s="530" t="s">
        <v>234</v>
      </c>
      <c r="E231" s="530" t="s">
        <v>20</v>
      </c>
      <c r="F231" s="530" t="s">
        <v>49</v>
      </c>
      <c r="G231" s="530" t="s">
        <v>49</v>
      </c>
      <c r="H231" s="530">
        <v>868.31122636628936</v>
      </c>
      <c r="I231" s="530">
        <v>1167.5814618814545</v>
      </c>
      <c r="J231" s="530">
        <v>3348.4885372698891</v>
      </c>
      <c r="K231" s="530">
        <v>3422.939836140707</v>
      </c>
      <c r="L231" s="530">
        <v>4075.490717269322</v>
      </c>
      <c r="M231" s="530">
        <v>4386.753416558563</v>
      </c>
      <c r="N231" s="530">
        <v>5881.3351726878836</v>
      </c>
      <c r="O231" s="530">
        <v>6653.7389670553603</v>
      </c>
      <c r="P231" s="530">
        <v>3552.7933335544194</v>
      </c>
      <c r="Q231" s="530">
        <v>3185.4629164661383</v>
      </c>
      <c r="R231" s="530">
        <v>1741.0253091587792</v>
      </c>
      <c r="S231" s="530">
        <v>1288.6856100284535</v>
      </c>
      <c r="T231" s="530">
        <v>3297.7172087031054</v>
      </c>
      <c r="U231" s="530" t="s">
        <v>59</v>
      </c>
    </row>
    <row r="232" spans="1:21" ht="13.8" x14ac:dyDescent="0.3">
      <c r="A232" s="530" t="str">
        <f t="shared" si="6"/>
        <v>Gwynedd.2015.Employment.Recreation</v>
      </c>
      <c r="B232" s="530" t="s">
        <v>219</v>
      </c>
      <c r="C232" s="530" t="str">
        <f t="shared" si="7"/>
        <v>2015.Employment.Recreation</v>
      </c>
      <c r="D232" s="530" t="s">
        <v>234</v>
      </c>
      <c r="E232" s="530" t="s">
        <v>20</v>
      </c>
      <c r="F232" s="530" t="s">
        <v>50</v>
      </c>
      <c r="G232" s="530" t="s">
        <v>50</v>
      </c>
      <c r="H232" s="530">
        <v>183.14811075896512</v>
      </c>
      <c r="I232" s="530">
        <v>350.76592644702475</v>
      </c>
      <c r="J232" s="530">
        <v>1142.1056031452024</v>
      </c>
      <c r="K232" s="530">
        <v>898.9226184084506</v>
      </c>
      <c r="L232" s="530">
        <v>1134.4126572917053</v>
      </c>
      <c r="M232" s="530">
        <v>1228.5591274323833</v>
      </c>
      <c r="N232" s="530">
        <v>1774.8009563441992</v>
      </c>
      <c r="O232" s="530">
        <v>2033.1498886041213</v>
      </c>
      <c r="P232" s="530">
        <v>941.64936503582999</v>
      </c>
      <c r="Q232" s="530">
        <v>842.89676866055402</v>
      </c>
      <c r="R232" s="530">
        <v>552.51108195811867</v>
      </c>
      <c r="S232" s="530">
        <v>368.65613560028743</v>
      </c>
      <c r="T232" s="530">
        <v>954.29818664057018</v>
      </c>
      <c r="U232" s="530" t="s">
        <v>59</v>
      </c>
    </row>
    <row r="233" spans="1:21" ht="13.8" x14ac:dyDescent="0.3">
      <c r="A233" s="530" t="str">
        <f t="shared" si="6"/>
        <v>Gwynedd.2015.Employment.Shopping</v>
      </c>
      <c r="B233" s="530" t="s">
        <v>219</v>
      </c>
      <c r="C233" s="530" t="str">
        <f t="shared" si="7"/>
        <v>2015.Employment.Shopping</v>
      </c>
      <c r="D233" s="530" t="s">
        <v>234</v>
      </c>
      <c r="E233" s="530" t="s">
        <v>20</v>
      </c>
      <c r="F233" s="530" t="s">
        <v>51</v>
      </c>
      <c r="G233" s="530" t="s">
        <v>51</v>
      </c>
      <c r="H233" s="530">
        <v>721.1755381462026</v>
      </c>
      <c r="I233" s="530">
        <v>1090.3335301331099</v>
      </c>
      <c r="J233" s="530">
        <v>3074.5041979287853</v>
      </c>
      <c r="K233" s="530">
        <v>3435.7738645210311</v>
      </c>
      <c r="L233" s="530">
        <v>3923.453037065533</v>
      </c>
      <c r="M233" s="530">
        <v>4331.1986930344237</v>
      </c>
      <c r="N233" s="530">
        <v>5413.8736302381767</v>
      </c>
      <c r="O233" s="530">
        <v>6291.2347854352811</v>
      </c>
      <c r="P233" s="530">
        <v>3281.7547530581678</v>
      </c>
      <c r="Q233" s="530">
        <v>3051.9408916559291</v>
      </c>
      <c r="R233" s="530">
        <v>1476.4336905655048</v>
      </c>
      <c r="S233" s="530">
        <v>1119.1453446303312</v>
      </c>
      <c r="T233" s="530">
        <v>3100.9018297010393</v>
      </c>
      <c r="U233" s="530" t="s">
        <v>59</v>
      </c>
    </row>
    <row r="234" spans="1:21" ht="13.8" x14ac:dyDescent="0.3">
      <c r="A234" s="530" t="str">
        <f t="shared" si="6"/>
        <v>Gwynedd.2015.Employment.Transport</v>
      </c>
      <c r="B234" s="530" t="s">
        <v>219</v>
      </c>
      <c r="C234" s="530" t="str">
        <f t="shared" si="7"/>
        <v>2015.Employment.Transport</v>
      </c>
      <c r="D234" s="530" t="s">
        <v>234</v>
      </c>
      <c r="E234" s="530" t="s">
        <v>20</v>
      </c>
      <c r="F234" s="530" t="s">
        <v>52</v>
      </c>
      <c r="G234" s="530" t="s">
        <v>52</v>
      </c>
      <c r="H234" s="530">
        <v>118.13839441209809</v>
      </c>
      <c r="I234" s="530">
        <v>188.27233881125085</v>
      </c>
      <c r="J234" s="530">
        <v>568.34997369353744</v>
      </c>
      <c r="K234" s="530">
        <v>542.58765726870433</v>
      </c>
      <c r="L234" s="530">
        <v>653.59941051933629</v>
      </c>
      <c r="M234" s="530">
        <v>705.50777841143736</v>
      </c>
      <c r="N234" s="530">
        <v>959.72387837036797</v>
      </c>
      <c r="O234" s="530">
        <v>1096.5321141606703</v>
      </c>
      <c r="P234" s="530">
        <v>551.66731585192963</v>
      </c>
      <c r="Q234" s="530">
        <v>502.17255594807636</v>
      </c>
      <c r="R234" s="530">
        <v>281.22044867576568</v>
      </c>
      <c r="S234" s="530">
        <v>197.86658177302951</v>
      </c>
      <c r="T234" s="530">
        <v>530.46987065801693</v>
      </c>
      <c r="U234" s="530" t="s">
        <v>59</v>
      </c>
    </row>
    <row r="235" spans="1:21" ht="13.8" x14ac:dyDescent="0.3">
      <c r="A235" s="530" t="str">
        <f t="shared" si="6"/>
        <v>Gwynedd.2015.Visitor Days.Serviced Accommodation</v>
      </c>
      <c r="B235" s="530" t="s">
        <v>219</v>
      </c>
      <c r="C235" s="530" t="str">
        <f t="shared" si="7"/>
        <v>2015.Visitor Days.Serviced Accommodation</v>
      </c>
      <c r="D235" s="530" t="s">
        <v>234</v>
      </c>
      <c r="E235" s="530" t="s">
        <v>171</v>
      </c>
      <c r="F235" s="530" t="s">
        <v>43</v>
      </c>
      <c r="G235" s="530" t="s">
        <v>43</v>
      </c>
      <c r="H235" s="530">
        <v>31.382829407142861</v>
      </c>
      <c r="I235" s="530">
        <v>39.697429555728952</v>
      </c>
      <c r="J235" s="530">
        <v>60.889577532533536</v>
      </c>
      <c r="K235" s="530">
        <v>82.5181197346608</v>
      </c>
      <c r="L235" s="530">
        <v>94.990455491817642</v>
      </c>
      <c r="M235" s="530">
        <v>101.18274504241685</v>
      </c>
      <c r="N235" s="530">
        <v>122.21654852952796</v>
      </c>
      <c r="O235" s="530">
        <v>132.0420906547246</v>
      </c>
      <c r="P235" s="530">
        <v>97.605461281284335</v>
      </c>
      <c r="Q235" s="530">
        <v>90.918274688803535</v>
      </c>
      <c r="R235" s="530">
        <v>49.939074363880387</v>
      </c>
      <c r="S235" s="530">
        <v>37.638976606460261</v>
      </c>
      <c r="T235" s="530">
        <v>941.02158288898158</v>
      </c>
      <c r="U235" s="530" t="s">
        <v>61</v>
      </c>
    </row>
    <row r="236" spans="1:21" ht="13.8" x14ac:dyDescent="0.3">
      <c r="A236" s="530" t="str">
        <f t="shared" si="6"/>
        <v>Gwynedd.2015.Visitor Days.Non-Serviced Accommodation</v>
      </c>
      <c r="B236" s="530" t="s">
        <v>219</v>
      </c>
      <c r="C236" s="530" t="str">
        <f t="shared" si="7"/>
        <v>2015.Visitor Days.Non-Serviced Accommodation</v>
      </c>
      <c r="D236" s="530" t="s">
        <v>234</v>
      </c>
      <c r="E236" s="530" t="s">
        <v>171</v>
      </c>
      <c r="F236" s="530" t="s">
        <v>48</v>
      </c>
      <c r="G236" s="530" t="s">
        <v>48</v>
      </c>
      <c r="H236" s="530">
        <v>339.71540305221379</v>
      </c>
      <c r="I236" s="530">
        <v>467.34218753747098</v>
      </c>
      <c r="J236" s="530">
        <v>1408.7439348954374</v>
      </c>
      <c r="K236" s="530">
        <v>1289.2537778035578</v>
      </c>
      <c r="L236" s="530">
        <v>1649.8891384002181</v>
      </c>
      <c r="M236" s="530">
        <v>1728.0979924258913</v>
      </c>
      <c r="N236" s="530">
        <v>2499.5610142435503</v>
      </c>
      <c r="O236" s="530">
        <v>2749.912186041307</v>
      </c>
      <c r="P236" s="530">
        <v>1492.6314196838116</v>
      </c>
      <c r="Q236" s="530">
        <v>1301.9586384576965</v>
      </c>
      <c r="R236" s="530">
        <v>765.24476338926843</v>
      </c>
      <c r="S236" s="530">
        <v>534.40656867502889</v>
      </c>
      <c r="T236" s="530">
        <v>16226.757024605453</v>
      </c>
      <c r="U236" s="530" t="s">
        <v>61</v>
      </c>
    </row>
    <row r="237" spans="1:21" ht="13.8" x14ac:dyDescent="0.3">
      <c r="A237" s="530" t="str">
        <f t="shared" si="6"/>
        <v>Gwynedd.2015.Visitor Days.SFR</v>
      </c>
      <c r="B237" s="530" t="s">
        <v>219</v>
      </c>
      <c r="C237" s="530" t="str">
        <f t="shared" si="7"/>
        <v>2015.Visitor Days.SFR</v>
      </c>
      <c r="D237" s="530" t="s">
        <v>234</v>
      </c>
      <c r="E237" s="530" t="s">
        <v>171</v>
      </c>
      <c r="F237" s="530" t="s">
        <v>18</v>
      </c>
      <c r="G237" s="530" t="s">
        <v>18</v>
      </c>
      <c r="H237" s="530">
        <v>62.5259659090909</v>
      </c>
      <c r="I237" s="530">
        <v>21.008724545454541</v>
      </c>
      <c r="J237" s="530">
        <v>23.898813636363638</v>
      </c>
      <c r="K237" s="530">
        <v>57.023680909090899</v>
      </c>
      <c r="L237" s="530">
        <v>36.681899999999999</v>
      </c>
      <c r="M237" s="530">
        <v>28.256734513636367</v>
      </c>
      <c r="N237" s="530">
        <v>45.852375000000002</v>
      </c>
      <c r="O237" s="530">
        <v>48.539046281818187</v>
      </c>
      <c r="P237" s="530">
        <v>25.001549360454543</v>
      </c>
      <c r="Q237" s="530">
        <v>24.977039181818181</v>
      </c>
      <c r="R237" s="530">
        <v>19.462248988636357</v>
      </c>
      <c r="S237" s="530">
        <v>56.356737272727273</v>
      </c>
      <c r="T237" s="530">
        <v>449.58481559909086</v>
      </c>
      <c r="U237" s="530" t="s">
        <v>61</v>
      </c>
    </row>
    <row r="238" spans="1:21" ht="13.8" x14ac:dyDescent="0.3">
      <c r="A238" s="530" t="str">
        <f t="shared" si="6"/>
        <v>Gwynedd.2015.Visitor Days.Day Visitor</v>
      </c>
      <c r="B238" s="530" t="s">
        <v>219</v>
      </c>
      <c r="C238" s="530" t="str">
        <f t="shared" si="7"/>
        <v>2015.Visitor Days.Day Visitor</v>
      </c>
      <c r="D238" s="530" t="s">
        <v>234</v>
      </c>
      <c r="E238" s="530" t="s">
        <v>171</v>
      </c>
      <c r="F238" s="530" t="s">
        <v>71</v>
      </c>
      <c r="G238" s="530" t="s">
        <v>71</v>
      </c>
      <c r="H238" s="530">
        <v>31.266171726148499</v>
      </c>
      <c r="I238" s="530">
        <v>98.216920297656742</v>
      </c>
      <c r="J238" s="530">
        <v>282.47298698195601</v>
      </c>
      <c r="K238" s="530">
        <v>427.00849530830442</v>
      </c>
      <c r="L238" s="530">
        <v>407.1590796865309</v>
      </c>
      <c r="M238" s="530">
        <v>519.38180565213588</v>
      </c>
      <c r="N238" s="530">
        <v>455.30301141863981</v>
      </c>
      <c r="O238" s="530">
        <v>618.87358033457565</v>
      </c>
      <c r="P238" s="530">
        <v>294.37136983580677</v>
      </c>
      <c r="Q238" s="530">
        <v>294.99541941115359</v>
      </c>
      <c r="R238" s="530">
        <v>84.577185541113266</v>
      </c>
      <c r="S238" s="530">
        <v>59.000446300278391</v>
      </c>
      <c r="T238" s="530">
        <v>3572.6264724943003</v>
      </c>
      <c r="U238" s="530" t="s">
        <v>61</v>
      </c>
    </row>
    <row r="239" spans="1:21" ht="13.8" x14ac:dyDescent="0.3">
      <c r="A239" s="530" t="str">
        <f t="shared" si="6"/>
        <v>Gwynedd.2015.Visitor Days.Total</v>
      </c>
      <c r="B239" s="530" t="s">
        <v>219</v>
      </c>
      <c r="C239" s="530" t="str">
        <f t="shared" si="7"/>
        <v>2015.Visitor Days.Total</v>
      </c>
      <c r="D239" s="530" t="s">
        <v>234</v>
      </c>
      <c r="E239" s="530" t="s">
        <v>171</v>
      </c>
      <c r="F239" s="530" t="s">
        <v>54</v>
      </c>
      <c r="G239" s="530" t="s">
        <v>54</v>
      </c>
      <c r="H239" s="530">
        <v>464.89037009459605</v>
      </c>
      <c r="I239" s="530">
        <v>626.26526193631128</v>
      </c>
      <c r="J239" s="530">
        <v>1776.0053130462907</v>
      </c>
      <c r="K239" s="530">
        <v>1855.8040737556139</v>
      </c>
      <c r="L239" s="530">
        <v>2188.7205735785665</v>
      </c>
      <c r="M239" s="530">
        <v>2376.9192776340806</v>
      </c>
      <c r="N239" s="530">
        <v>3122.9329491917183</v>
      </c>
      <c r="O239" s="530">
        <v>3549.3669033124256</v>
      </c>
      <c r="P239" s="530">
        <v>1909.6098001613573</v>
      </c>
      <c r="Q239" s="530">
        <v>1712.8493717394717</v>
      </c>
      <c r="R239" s="530">
        <v>919.22327228289851</v>
      </c>
      <c r="S239" s="530">
        <v>687.40272885449485</v>
      </c>
      <c r="T239" s="530">
        <v>21189.989895587823</v>
      </c>
      <c r="U239" s="530" t="s">
        <v>61</v>
      </c>
    </row>
    <row r="240" spans="1:21" ht="13.8" x14ac:dyDescent="0.3">
      <c r="A240" s="530" t="str">
        <f t="shared" si="6"/>
        <v>Gwynedd.2015.Visitor Numbers.Serviced Accommodation</v>
      </c>
      <c r="B240" s="530" t="s">
        <v>219</v>
      </c>
      <c r="C240" s="530" t="str">
        <f t="shared" si="7"/>
        <v>2015.Visitor Numbers.Serviced Accommodation</v>
      </c>
      <c r="D240" s="530" t="s">
        <v>234</v>
      </c>
      <c r="E240" s="530" t="s">
        <v>172</v>
      </c>
      <c r="F240" s="530" t="s">
        <v>43</v>
      </c>
      <c r="G240" s="530" t="s">
        <v>43</v>
      </c>
      <c r="H240" s="530">
        <v>20.70231275864662</v>
      </c>
      <c r="I240" s="530">
        <v>27.375131017943811</v>
      </c>
      <c r="J240" s="530">
        <v>29.614635902833932</v>
      </c>
      <c r="K240" s="530">
        <v>45.576969852589336</v>
      </c>
      <c r="L240" s="530">
        <v>50.933157375672742</v>
      </c>
      <c r="M240" s="530">
        <v>57.198431817802955</v>
      </c>
      <c r="N240" s="530">
        <v>71.877091037776651</v>
      </c>
      <c r="O240" s="530">
        <v>77.827006971046472</v>
      </c>
      <c r="P240" s="530">
        <v>50.65076122016967</v>
      </c>
      <c r="Q240" s="530">
        <v>52.537240050392747</v>
      </c>
      <c r="R240" s="530">
        <v>29.871975533255537</v>
      </c>
      <c r="S240" s="530">
        <v>23.691317809245113</v>
      </c>
      <c r="T240" s="530">
        <v>537.85603134737562</v>
      </c>
      <c r="U240" s="530" t="s">
        <v>61</v>
      </c>
    </row>
    <row r="241" spans="1:21" ht="13.8" x14ac:dyDescent="0.3">
      <c r="A241" s="530" t="str">
        <f t="shared" si="6"/>
        <v>Gwynedd.2015.Visitor Numbers.Non-Serviced Accommodation</v>
      </c>
      <c r="B241" s="530" t="s">
        <v>219</v>
      </c>
      <c r="C241" s="530" t="str">
        <f t="shared" si="7"/>
        <v>2015.Visitor Numbers.Non-Serviced Accommodation</v>
      </c>
      <c r="D241" s="530" t="s">
        <v>234</v>
      </c>
      <c r="E241" s="530" t="s">
        <v>172</v>
      </c>
      <c r="F241" s="530" t="s">
        <v>48</v>
      </c>
      <c r="G241" s="530" t="s">
        <v>48</v>
      </c>
      <c r="H241" s="530">
        <v>99.916295015356994</v>
      </c>
      <c r="I241" s="530">
        <v>116.83554688436774</v>
      </c>
      <c r="J241" s="530">
        <v>293.48831976988276</v>
      </c>
      <c r="K241" s="530">
        <v>201.4459027818059</v>
      </c>
      <c r="L241" s="530">
        <v>239.11436788408957</v>
      </c>
      <c r="M241" s="530">
        <v>246.87114177512731</v>
      </c>
      <c r="N241" s="530">
        <v>352.05084707655641</v>
      </c>
      <c r="O241" s="530">
        <v>361.83055079490879</v>
      </c>
      <c r="P241" s="530">
        <v>216.32339415707415</v>
      </c>
      <c r="Q241" s="530">
        <v>185.99409120824237</v>
      </c>
      <c r="R241" s="530">
        <v>170.05439186428185</v>
      </c>
      <c r="S241" s="530">
        <v>95.429744406255182</v>
      </c>
      <c r="T241" s="530">
        <v>2579.3545936179494</v>
      </c>
      <c r="U241" s="530" t="s">
        <v>61</v>
      </c>
    </row>
    <row r="242" spans="1:21" ht="13.8" x14ac:dyDescent="0.3">
      <c r="A242" s="530" t="str">
        <f t="shared" si="6"/>
        <v>Gwynedd.2015.Visitor Numbers.SFR</v>
      </c>
      <c r="B242" s="530" t="s">
        <v>219</v>
      </c>
      <c r="C242" s="530" t="str">
        <f t="shared" si="7"/>
        <v>2015.Visitor Numbers.SFR</v>
      </c>
      <c r="D242" s="530" t="s">
        <v>234</v>
      </c>
      <c r="E242" s="530" t="s">
        <v>172</v>
      </c>
      <c r="F242" s="530" t="s">
        <v>18</v>
      </c>
      <c r="G242" s="530" t="s">
        <v>18</v>
      </c>
      <c r="H242" s="530">
        <v>25.010386363636361</v>
      </c>
      <c r="I242" s="530">
        <v>10.004154545454544</v>
      </c>
      <c r="J242" s="530">
        <v>11.115727272727273</v>
      </c>
      <c r="K242" s="530">
        <v>21.119881818181813</v>
      </c>
      <c r="L242" s="530">
        <v>16.673590909090908</v>
      </c>
      <c r="M242" s="530">
        <v>13.455587863636365</v>
      </c>
      <c r="N242" s="530">
        <v>18.340949999999999</v>
      </c>
      <c r="O242" s="530">
        <v>18.668863954545458</v>
      </c>
      <c r="P242" s="530">
        <v>11.521451318181818</v>
      </c>
      <c r="Q242" s="530">
        <v>11.671513636363635</v>
      </c>
      <c r="R242" s="530">
        <v>9.5873147727272698</v>
      </c>
      <c r="S242" s="530">
        <v>21.675668181818182</v>
      </c>
      <c r="T242" s="530">
        <v>188.84509063636364</v>
      </c>
      <c r="U242" s="530" t="s">
        <v>61</v>
      </c>
    </row>
    <row r="243" spans="1:21" ht="13.8" x14ac:dyDescent="0.3">
      <c r="A243" s="530" t="str">
        <f t="shared" si="6"/>
        <v>Gwynedd.2015.Visitor Numbers.Day Visitor</v>
      </c>
      <c r="B243" s="530" t="s">
        <v>219</v>
      </c>
      <c r="C243" s="530" t="str">
        <f t="shared" si="7"/>
        <v>2015.Visitor Numbers.Day Visitor</v>
      </c>
      <c r="D243" s="530" t="s">
        <v>234</v>
      </c>
      <c r="E243" s="530" t="s">
        <v>172</v>
      </c>
      <c r="F243" s="530" t="s">
        <v>71</v>
      </c>
      <c r="G243" s="530" t="s">
        <v>71</v>
      </c>
      <c r="H243" s="530">
        <v>31.266171726148499</v>
      </c>
      <c r="I243" s="530">
        <v>98.216920297656742</v>
      </c>
      <c r="J243" s="530">
        <v>282.47298698195601</v>
      </c>
      <c r="K243" s="530">
        <v>427.00849530830442</v>
      </c>
      <c r="L243" s="530">
        <v>407.1590796865309</v>
      </c>
      <c r="M243" s="530">
        <v>519.38180565213588</v>
      </c>
      <c r="N243" s="530">
        <v>455.30301141863981</v>
      </c>
      <c r="O243" s="530">
        <v>618.87358033457565</v>
      </c>
      <c r="P243" s="530">
        <v>294.37136983580677</v>
      </c>
      <c r="Q243" s="530">
        <v>294.99541941115359</v>
      </c>
      <c r="R243" s="530">
        <v>84.577185541113266</v>
      </c>
      <c r="S243" s="530">
        <v>59.000446300278391</v>
      </c>
      <c r="T243" s="530">
        <v>3572.6264724943003</v>
      </c>
      <c r="U243" s="530" t="s">
        <v>61</v>
      </c>
    </row>
    <row r="244" spans="1:21" ht="13.8" x14ac:dyDescent="0.3">
      <c r="A244" s="530" t="str">
        <f t="shared" si="6"/>
        <v>Gwynedd.2015.Visitor Numbers.Total</v>
      </c>
      <c r="B244" s="530" t="s">
        <v>219</v>
      </c>
      <c r="C244" s="530" t="str">
        <f t="shared" si="7"/>
        <v>2015.Visitor Numbers.Total</v>
      </c>
      <c r="D244" s="530" t="s">
        <v>234</v>
      </c>
      <c r="E244" s="530" t="s">
        <v>172</v>
      </c>
      <c r="F244" s="530" t="s">
        <v>54</v>
      </c>
      <c r="G244" s="530" t="s">
        <v>54</v>
      </c>
      <c r="H244" s="530">
        <v>176.89516586378846</v>
      </c>
      <c r="I244" s="530">
        <v>252.43175274542284</v>
      </c>
      <c r="J244" s="530">
        <v>616.69166992739997</v>
      </c>
      <c r="K244" s="530">
        <v>695.15124976088146</v>
      </c>
      <c r="L244" s="530">
        <v>713.88019585538416</v>
      </c>
      <c r="M244" s="530">
        <v>836.90696710870247</v>
      </c>
      <c r="N244" s="530">
        <v>897.57189953297291</v>
      </c>
      <c r="O244" s="530">
        <v>1077.2000020550763</v>
      </c>
      <c r="P244" s="530">
        <v>572.86697653123247</v>
      </c>
      <c r="Q244" s="530">
        <v>545.1982643061524</v>
      </c>
      <c r="R244" s="530">
        <v>294.09086771137788</v>
      </c>
      <c r="S244" s="530">
        <v>199.79717669759685</v>
      </c>
      <c r="T244" s="530">
        <v>6878.6821880959878</v>
      </c>
      <c r="U244" s="530" t="s">
        <v>61</v>
      </c>
    </row>
    <row r="245" spans="1:21" ht="13.8" x14ac:dyDescent="0.3">
      <c r="A245" s="530" t="str">
        <f t="shared" si="6"/>
        <v>Gwynedd.2015.Vehicle Days.Serviced Accommodation</v>
      </c>
      <c r="B245" s="530" t="s">
        <v>219</v>
      </c>
      <c r="C245" s="530" t="str">
        <f t="shared" si="7"/>
        <v>2015.Vehicle Days.Serviced Accommodation</v>
      </c>
      <c r="D245" s="530" t="s">
        <v>234</v>
      </c>
      <c r="E245" s="530" t="s">
        <v>21</v>
      </c>
      <c r="F245" s="530" t="s">
        <v>43</v>
      </c>
      <c r="G245" s="530" t="s">
        <v>43</v>
      </c>
      <c r="H245" s="530">
        <v>7.9435840357337808</v>
      </c>
      <c r="I245" s="530">
        <v>13.525431383028913</v>
      </c>
      <c r="J245" s="530">
        <v>21.689660114469365</v>
      </c>
      <c r="K245" s="530">
        <v>21.377023668325243</v>
      </c>
      <c r="L245" s="530">
        <v>26.363591258671434</v>
      </c>
      <c r="M245" s="530">
        <v>27.969336777229522</v>
      </c>
      <c r="N245" s="530">
        <v>31.631467347426579</v>
      </c>
      <c r="O245" s="530">
        <v>34.176452074783541</v>
      </c>
      <c r="P245" s="530">
        <v>25.276602808492232</v>
      </c>
      <c r="Q245" s="530">
        <v>25.852557510800793</v>
      </c>
      <c r="R245" s="530">
        <v>14.264765221728172</v>
      </c>
      <c r="S245" s="530">
        <v>9.761886673898573</v>
      </c>
      <c r="T245" s="530">
        <v>259.83235887458812</v>
      </c>
      <c r="U245" s="530" t="s">
        <v>61</v>
      </c>
    </row>
    <row r="246" spans="1:21" ht="13.8" x14ac:dyDescent="0.3">
      <c r="A246" s="530" t="str">
        <f t="shared" si="6"/>
        <v>Gwynedd.2015.Vehicle Days.Non-Serviced Accommodation</v>
      </c>
      <c r="B246" s="530" t="s">
        <v>219</v>
      </c>
      <c r="C246" s="530" t="str">
        <f t="shared" si="7"/>
        <v>2015.Vehicle Days.Non-Serviced Accommodation</v>
      </c>
      <c r="D246" s="530" t="s">
        <v>234</v>
      </c>
      <c r="E246" s="530" t="s">
        <v>21</v>
      </c>
      <c r="F246" s="530" t="s">
        <v>48</v>
      </c>
      <c r="G246" s="530" t="s">
        <v>48</v>
      </c>
      <c r="H246" s="530">
        <v>84.925278195661235</v>
      </c>
      <c r="I246" s="530">
        <v>131.06898961899844</v>
      </c>
      <c r="J246" s="530">
        <v>386.91599942765737</v>
      </c>
      <c r="K246" s="530">
        <v>330.77864574597413</v>
      </c>
      <c r="L246" s="530">
        <v>440.47616242847363</v>
      </c>
      <c r="M246" s="530">
        <v>460.06532587534474</v>
      </c>
      <c r="N246" s="530">
        <v>657.26134209196721</v>
      </c>
      <c r="O246" s="530">
        <v>718.81124267404175</v>
      </c>
      <c r="P246" s="530">
        <v>392.09333229860454</v>
      </c>
      <c r="Q246" s="530">
        <v>337.2448032999356</v>
      </c>
      <c r="R246" s="530">
        <v>204.91782813015274</v>
      </c>
      <c r="S246" s="530">
        <v>135.21278447562588</v>
      </c>
      <c r="T246" s="530">
        <v>4279.7717342624373</v>
      </c>
      <c r="U246" s="530" t="s">
        <v>61</v>
      </c>
    </row>
    <row r="247" spans="1:21" ht="13.8" x14ac:dyDescent="0.3">
      <c r="A247" s="530" t="str">
        <f t="shared" si="6"/>
        <v>Gwynedd.2015.Vehicle Days.SFR</v>
      </c>
      <c r="B247" s="530" t="s">
        <v>219</v>
      </c>
      <c r="C247" s="530" t="str">
        <f t="shared" si="7"/>
        <v>2015.Vehicle Days.SFR</v>
      </c>
      <c r="D247" s="530" t="s">
        <v>234</v>
      </c>
      <c r="E247" s="530" t="s">
        <v>21</v>
      </c>
      <c r="F247" s="530" t="s">
        <v>18</v>
      </c>
      <c r="G247" s="530" t="s">
        <v>18</v>
      </c>
      <c r="H247" s="530">
        <v>19.591469318181815</v>
      </c>
      <c r="I247" s="530">
        <v>6.5827336909090892</v>
      </c>
      <c r="J247" s="530">
        <v>7.4882949393939393</v>
      </c>
      <c r="K247" s="530">
        <v>17.867420018181814</v>
      </c>
      <c r="L247" s="530">
        <v>11.493661999999999</v>
      </c>
      <c r="M247" s="530">
        <v>8.8537768142727273</v>
      </c>
      <c r="N247" s="530">
        <v>14.367077500000001</v>
      </c>
      <c r="O247" s="530">
        <v>15.208901168303029</v>
      </c>
      <c r="P247" s="530">
        <v>7.83381879960909</v>
      </c>
      <c r="Q247" s="530">
        <v>7.8261389436363622</v>
      </c>
      <c r="R247" s="530">
        <v>6.0981713497727252</v>
      </c>
      <c r="S247" s="530">
        <v>17.658444345454544</v>
      </c>
      <c r="T247" s="530">
        <v>140.86990888771513</v>
      </c>
      <c r="U247" s="530" t="s">
        <v>61</v>
      </c>
    </row>
    <row r="248" spans="1:21" ht="13.8" x14ac:dyDescent="0.3">
      <c r="A248" s="530" t="str">
        <f t="shared" si="6"/>
        <v>Gwynedd.2015.Vehicle Days.Day Visitor</v>
      </c>
      <c r="B248" s="530" t="s">
        <v>219</v>
      </c>
      <c r="C248" s="530" t="str">
        <f t="shared" si="7"/>
        <v>2015.Vehicle Days.Day Visitor</v>
      </c>
      <c r="D248" s="530" t="s">
        <v>234</v>
      </c>
      <c r="E248" s="530" t="s">
        <v>21</v>
      </c>
      <c r="F248" s="530" t="s">
        <v>71</v>
      </c>
      <c r="G248" s="530" t="s">
        <v>71</v>
      </c>
      <c r="H248" s="530">
        <v>6.8785577797526702</v>
      </c>
      <c r="I248" s="530">
        <v>24.694539960553698</v>
      </c>
      <c r="J248" s="530">
        <v>71.021779584034647</v>
      </c>
      <c r="K248" s="530">
        <v>93.941868967826977</v>
      </c>
      <c r="L248" s="530">
        <v>89.5749975310368</v>
      </c>
      <c r="M248" s="530">
        <v>130.58742542110843</v>
      </c>
      <c r="N248" s="530">
        <v>100.16666251210076</v>
      </c>
      <c r="O248" s="530">
        <v>136.15218767360665</v>
      </c>
      <c r="P248" s="530">
        <v>64.761701363877492</v>
      </c>
      <c r="Q248" s="530">
        <v>74.170276880518614</v>
      </c>
      <c r="R248" s="530">
        <v>21.265120936051336</v>
      </c>
      <c r="S248" s="530">
        <v>12.980098186061246</v>
      </c>
      <c r="T248" s="530">
        <v>826.19521679652917</v>
      </c>
      <c r="U248" s="530" t="s">
        <v>61</v>
      </c>
    </row>
    <row r="249" spans="1:21" ht="13.8" x14ac:dyDescent="0.3">
      <c r="A249" s="530" t="str">
        <f t="shared" si="6"/>
        <v>Gwynedd.2015.Vehicle Days.Total</v>
      </c>
      <c r="B249" s="530" t="s">
        <v>219</v>
      </c>
      <c r="C249" s="530" t="str">
        <f t="shared" si="7"/>
        <v>2015.Vehicle Days.Total</v>
      </c>
      <c r="D249" s="530" t="s">
        <v>234</v>
      </c>
      <c r="E249" s="530" t="s">
        <v>21</v>
      </c>
      <c r="F249" s="530" t="s">
        <v>54</v>
      </c>
      <c r="G249" s="530" t="s">
        <v>54</v>
      </c>
      <c r="H249" s="530">
        <v>119.3388893293295</v>
      </c>
      <c r="I249" s="530">
        <v>175.87169465349015</v>
      </c>
      <c r="J249" s="530">
        <v>487.11573406555533</v>
      </c>
      <c r="K249" s="530">
        <v>463.96495840030815</v>
      </c>
      <c r="L249" s="530">
        <v>567.90841321818186</v>
      </c>
      <c r="M249" s="530">
        <v>627.47586488795537</v>
      </c>
      <c r="N249" s="530">
        <v>803.42654945149457</v>
      </c>
      <c r="O249" s="530">
        <v>904.34878359073491</v>
      </c>
      <c r="P249" s="530">
        <v>489.96545527058333</v>
      </c>
      <c r="Q249" s="530">
        <v>445.09377663489136</v>
      </c>
      <c r="R249" s="530">
        <v>246.54588563770497</v>
      </c>
      <c r="S249" s="530">
        <v>175.61321368104024</v>
      </c>
      <c r="T249" s="530">
        <v>5506.6692188212701</v>
      </c>
      <c r="U249" s="530" t="s">
        <v>61</v>
      </c>
    </row>
    <row r="250" spans="1:21" ht="13.8" x14ac:dyDescent="0.3">
      <c r="A250" s="530" t="str">
        <f t="shared" si="6"/>
        <v>Gwynedd.2015.Vehicle Numbers.Serviced Accommodation</v>
      </c>
      <c r="B250" s="530" t="s">
        <v>219</v>
      </c>
      <c r="C250" s="530" t="str">
        <f t="shared" si="7"/>
        <v>2015.Vehicle Numbers.Serviced Accommodation</v>
      </c>
      <c r="D250" s="530" t="s">
        <v>234</v>
      </c>
      <c r="E250" s="530" t="s">
        <v>22</v>
      </c>
      <c r="F250" s="530" t="s">
        <v>43</v>
      </c>
      <c r="G250" s="530" t="s">
        <v>43</v>
      </c>
      <c r="H250" s="530">
        <v>5.2186934266909715</v>
      </c>
      <c r="I250" s="530">
        <v>9.3186427721475908</v>
      </c>
      <c r="J250" s="530">
        <v>10.550503132926677</v>
      </c>
      <c r="K250" s="530">
        <v>11.806852460180689</v>
      </c>
      <c r="L250" s="530">
        <v>14.114345892632315</v>
      </c>
      <c r="M250" s="530">
        <v>15.806034124698368</v>
      </c>
      <c r="N250" s="530">
        <v>18.607579630793772</v>
      </c>
      <c r="O250" s="530">
        <v>20.153710499080056</v>
      </c>
      <c r="P250" s="530">
        <v>13.118789354923267</v>
      </c>
      <c r="Q250" s="530">
        <v>14.956712318088243</v>
      </c>
      <c r="R250" s="530">
        <v>8.4464027722460102</v>
      </c>
      <c r="S250" s="530">
        <v>6.1462719394142313</v>
      </c>
      <c r="T250" s="530">
        <v>148.24453832382218</v>
      </c>
      <c r="U250" s="530" t="s">
        <v>61</v>
      </c>
    </row>
    <row r="251" spans="1:21" ht="13.8" x14ac:dyDescent="0.3">
      <c r="A251" s="530" t="str">
        <f t="shared" si="6"/>
        <v>Gwynedd.2015.Vehicle Numbers.Non-Serviced Accommodation</v>
      </c>
      <c r="B251" s="530" t="s">
        <v>219</v>
      </c>
      <c r="C251" s="530" t="str">
        <f t="shared" si="7"/>
        <v>2015.Vehicle Numbers.Non-Serviced Accommodation</v>
      </c>
      <c r="D251" s="530" t="s">
        <v>234</v>
      </c>
      <c r="E251" s="530" t="s">
        <v>22</v>
      </c>
      <c r="F251" s="530" t="s">
        <v>48</v>
      </c>
      <c r="G251" s="530" t="s">
        <v>48</v>
      </c>
      <c r="H251" s="530">
        <v>24.978022998723894</v>
      </c>
      <c r="I251" s="530">
        <v>32.767247404749611</v>
      </c>
      <c r="J251" s="530">
        <v>80.607499880761949</v>
      </c>
      <c r="K251" s="530">
        <v>51.684163397808447</v>
      </c>
      <c r="L251" s="530">
        <v>63.837124989633864</v>
      </c>
      <c r="M251" s="530">
        <v>65.72361798219211</v>
      </c>
      <c r="N251" s="530">
        <v>92.572020012953132</v>
      </c>
      <c r="O251" s="530">
        <v>94.580426667637056</v>
      </c>
      <c r="P251" s="530">
        <v>56.825120622986162</v>
      </c>
      <c r="Q251" s="530">
        <v>48.177829042847932</v>
      </c>
      <c r="R251" s="530">
        <v>45.537295140033947</v>
      </c>
      <c r="S251" s="530">
        <v>24.145140084933196</v>
      </c>
      <c r="T251" s="530">
        <v>681.4355082252614</v>
      </c>
      <c r="U251" s="530" t="s">
        <v>61</v>
      </c>
    </row>
    <row r="252" spans="1:21" ht="13.8" x14ac:dyDescent="0.3">
      <c r="A252" s="530" t="str">
        <f t="shared" si="6"/>
        <v>Gwynedd.2015.Vehicle Numbers.SFR</v>
      </c>
      <c r="B252" s="530" t="s">
        <v>219</v>
      </c>
      <c r="C252" s="530" t="str">
        <f t="shared" si="7"/>
        <v>2015.Vehicle Numbers.SFR</v>
      </c>
      <c r="D252" s="530" t="s">
        <v>234</v>
      </c>
      <c r="E252" s="530" t="s">
        <v>22</v>
      </c>
      <c r="F252" s="530" t="s">
        <v>18</v>
      </c>
      <c r="G252" s="530" t="s">
        <v>18</v>
      </c>
      <c r="H252" s="530">
        <v>7.8365877272727262</v>
      </c>
      <c r="I252" s="530">
        <v>3.1346350909090899</v>
      </c>
      <c r="J252" s="530">
        <v>3.4829278787878786</v>
      </c>
      <c r="K252" s="530">
        <v>6.6175629696969676</v>
      </c>
      <c r="L252" s="530">
        <v>5.2243918181818172</v>
      </c>
      <c r="M252" s="530">
        <v>4.2160841972727274</v>
      </c>
      <c r="N252" s="530">
        <v>5.7468309999999994</v>
      </c>
      <c r="O252" s="530">
        <v>5.8495773724242435</v>
      </c>
      <c r="P252" s="530">
        <v>3.6100547463636361</v>
      </c>
      <c r="Q252" s="530">
        <v>3.657074272727272</v>
      </c>
      <c r="R252" s="530">
        <v>3.0040252954545443</v>
      </c>
      <c r="S252" s="530">
        <v>6.7917093636363628</v>
      </c>
      <c r="T252" s="530">
        <v>59.171461732727266</v>
      </c>
      <c r="U252" s="530" t="s">
        <v>61</v>
      </c>
    </row>
    <row r="253" spans="1:21" ht="13.8" x14ac:dyDescent="0.3">
      <c r="A253" s="530" t="str">
        <f t="shared" si="6"/>
        <v>Gwynedd.2015.Vehicle Numbers.Day Visitor</v>
      </c>
      <c r="B253" s="530" t="s">
        <v>219</v>
      </c>
      <c r="C253" s="530" t="str">
        <f t="shared" si="7"/>
        <v>2015.Vehicle Numbers.Day Visitor</v>
      </c>
      <c r="D253" s="530" t="s">
        <v>234</v>
      </c>
      <c r="E253" s="530" t="s">
        <v>22</v>
      </c>
      <c r="F253" s="530" t="s">
        <v>71</v>
      </c>
      <c r="G253" s="530" t="s">
        <v>71</v>
      </c>
      <c r="H253" s="530">
        <v>6.8785577797526702</v>
      </c>
      <c r="I253" s="530">
        <v>24.694539960553698</v>
      </c>
      <c r="J253" s="530">
        <v>71.021779584034647</v>
      </c>
      <c r="K253" s="530">
        <v>93.941868967826977</v>
      </c>
      <c r="L253" s="530">
        <v>89.5749975310368</v>
      </c>
      <c r="M253" s="530">
        <v>130.58742542110843</v>
      </c>
      <c r="N253" s="530">
        <v>100.16666251210076</v>
      </c>
      <c r="O253" s="530">
        <v>136.15218767360665</v>
      </c>
      <c r="P253" s="530">
        <v>64.761701363877492</v>
      </c>
      <c r="Q253" s="530">
        <v>74.170276880518614</v>
      </c>
      <c r="R253" s="530">
        <v>21.265120936051336</v>
      </c>
      <c r="S253" s="530">
        <v>12.980098186061246</v>
      </c>
      <c r="T253" s="530">
        <v>826.19521679652917</v>
      </c>
      <c r="U253" s="530" t="s">
        <v>61</v>
      </c>
    </row>
    <row r="254" spans="1:21" ht="13.8" x14ac:dyDescent="0.3">
      <c r="A254" s="530" t="str">
        <f t="shared" si="6"/>
        <v>Gwynedd.2015.Vehicle Numbers.Total</v>
      </c>
      <c r="B254" s="530" t="s">
        <v>219</v>
      </c>
      <c r="C254" s="530" t="str">
        <f t="shared" si="7"/>
        <v>2015.Vehicle Numbers.Total</v>
      </c>
      <c r="D254" s="530" t="s">
        <v>234</v>
      </c>
      <c r="E254" s="530" t="s">
        <v>22</v>
      </c>
      <c r="F254" s="530" t="s">
        <v>54</v>
      </c>
      <c r="G254" s="530" t="s">
        <v>54</v>
      </c>
      <c r="H254" s="530">
        <v>44.91186193244026</v>
      </c>
      <c r="I254" s="530">
        <v>69.915065228359992</v>
      </c>
      <c r="J254" s="530">
        <v>165.66271047651117</v>
      </c>
      <c r="K254" s="530">
        <v>164.05044779551309</v>
      </c>
      <c r="L254" s="530">
        <v>172.75086023148481</v>
      </c>
      <c r="M254" s="530">
        <v>216.33316172527162</v>
      </c>
      <c r="N254" s="530">
        <v>217.09309315584767</v>
      </c>
      <c r="O254" s="530">
        <v>256.73590221274799</v>
      </c>
      <c r="P254" s="530">
        <v>138.31566608815055</v>
      </c>
      <c r="Q254" s="530">
        <v>140.96189251418207</v>
      </c>
      <c r="R254" s="530">
        <v>78.252844143785836</v>
      </c>
      <c r="S254" s="530">
        <v>50.063219574045036</v>
      </c>
      <c r="T254" s="530">
        <v>1715.0467250783399</v>
      </c>
      <c r="U254" s="530" t="s">
        <v>61</v>
      </c>
    </row>
    <row r="255" spans="1:21" ht="13.8" x14ac:dyDescent="0.3">
      <c r="A255" s="530" t="str">
        <f t="shared" si="6"/>
        <v>Gwynedd.2015.Accommodation.Serviced Accommodation</v>
      </c>
      <c r="B255" s="530" t="s">
        <v>219</v>
      </c>
      <c r="C255" s="530" t="str">
        <f t="shared" si="7"/>
        <v>2015.Accommodation.Serviced Accommodation</v>
      </c>
      <c r="D255" s="530" t="s">
        <v>234</v>
      </c>
      <c r="E255" s="530" t="s">
        <v>23</v>
      </c>
      <c r="F255" s="530" t="s">
        <v>43</v>
      </c>
      <c r="G255" s="530" t="s">
        <v>43</v>
      </c>
      <c r="H255" s="530">
        <v>5534</v>
      </c>
      <c r="I255" s="530">
        <v>5706</v>
      </c>
      <c r="J255" s="530">
        <v>6056</v>
      </c>
      <c r="K255" s="530">
        <v>6178</v>
      </c>
      <c r="L255" s="530">
        <v>6185</v>
      </c>
      <c r="M255" s="530">
        <v>6185</v>
      </c>
      <c r="N255" s="530">
        <v>6185</v>
      </c>
      <c r="O255" s="530">
        <v>6185</v>
      </c>
      <c r="P255" s="530">
        <v>6181</v>
      </c>
      <c r="Q255" s="530">
        <v>6145</v>
      </c>
      <c r="R255" s="530">
        <v>5846</v>
      </c>
      <c r="S255" s="530">
        <v>5742</v>
      </c>
      <c r="T255" s="530">
        <v>6185</v>
      </c>
      <c r="U255" s="530" t="s">
        <v>58</v>
      </c>
    </row>
    <row r="256" spans="1:21" ht="13.8" x14ac:dyDescent="0.3">
      <c r="A256" s="530" t="str">
        <f t="shared" si="6"/>
        <v>Gwynedd.2015.Accommodation.Non-Serviced Accommodation</v>
      </c>
      <c r="B256" s="530" t="s">
        <v>219</v>
      </c>
      <c r="C256" s="530" t="str">
        <f t="shared" si="7"/>
        <v>2015.Accommodation.Non-Serviced Accommodation</v>
      </c>
      <c r="D256" s="530" t="s">
        <v>234</v>
      </c>
      <c r="E256" s="530" t="s">
        <v>23</v>
      </c>
      <c r="F256" s="530" t="s">
        <v>48</v>
      </c>
      <c r="G256" s="530" t="s">
        <v>48</v>
      </c>
      <c r="H256" s="530">
        <v>44912</v>
      </c>
      <c r="I256" s="530">
        <v>45290</v>
      </c>
      <c r="J256" s="530">
        <v>87580</v>
      </c>
      <c r="K256" s="530">
        <v>97953</v>
      </c>
      <c r="L256" s="530">
        <v>98095</v>
      </c>
      <c r="M256" s="530">
        <v>98107</v>
      </c>
      <c r="N256" s="530">
        <v>98107</v>
      </c>
      <c r="O256" s="530">
        <v>98107</v>
      </c>
      <c r="P256" s="530">
        <v>98067</v>
      </c>
      <c r="Q256" s="530">
        <v>96493</v>
      </c>
      <c r="R256" s="530">
        <v>63897</v>
      </c>
      <c r="S256" s="530">
        <v>55691</v>
      </c>
      <c r="T256" s="530">
        <v>98107</v>
      </c>
      <c r="U256" s="530" t="s">
        <v>58</v>
      </c>
    </row>
    <row r="257" spans="1:21" ht="13.8" x14ac:dyDescent="0.3">
      <c r="A257" s="530" t="str">
        <f t="shared" si="6"/>
        <v>Gwynedd.2015.Accommodation.Total</v>
      </c>
      <c r="B257" s="530" t="s">
        <v>219</v>
      </c>
      <c r="C257" s="530" t="str">
        <f t="shared" si="7"/>
        <v>2015.Accommodation.Total</v>
      </c>
      <c r="D257" s="530" t="s">
        <v>234</v>
      </c>
      <c r="E257" s="530" t="s">
        <v>23</v>
      </c>
      <c r="F257" s="530" t="s">
        <v>54</v>
      </c>
      <c r="G257" s="530" t="s">
        <v>54</v>
      </c>
      <c r="H257" s="530">
        <v>50446</v>
      </c>
      <c r="I257" s="530">
        <v>50996</v>
      </c>
      <c r="J257" s="530">
        <v>93636</v>
      </c>
      <c r="K257" s="530">
        <v>104131</v>
      </c>
      <c r="L257" s="530">
        <v>104280</v>
      </c>
      <c r="M257" s="530">
        <v>104292</v>
      </c>
      <c r="N257" s="530">
        <v>104292</v>
      </c>
      <c r="O257" s="530">
        <v>104292</v>
      </c>
      <c r="P257" s="530">
        <v>104248</v>
      </c>
      <c r="Q257" s="530">
        <v>102638</v>
      </c>
      <c r="R257" s="530">
        <v>69743</v>
      </c>
      <c r="S257" s="530">
        <v>61433</v>
      </c>
      <c r="T257" s="530">
        <v>104292</v>
      </c>
      <c r="U257" s="530" t="s">
        <v>58</v>
      </c>
    </row>
    <row r="258" spans="1:21" ht="13.8" x14ac:dyDescent="0.3">
      <c r="A258" s="530" t="str">
        <f t="shared" si="6"/>
        <v>Gwynedd.2015.Economic Impact.Total</v>
      </c>
      <c r="B258" s="530" t="s">
        <v>219</v>
      </c>
      <c r="C258" s="530" t="str">
        <f t="shared" si="7"/>
        <v>2015.Economic Impact.Total</v>
      </c>
      <c r="D258" s="530" t="s">
        <v>234</v>
      </c>
      <c r="E258" s="530" t="s">
        <v>17</v>
      </c>
      <c r="F258" s="530" t="s">
        <v>54</v>
      </c>
      <c r="G258" s="530" t="s">
        <v>54</v>
      </c>
      <c r="H258" s="530">
        <v>18909.791305310449</v>
      </c>
      <c r="I258" s="530">
        <v>28374.201945848956</v>
      </c>
      <c r="J258" s="530">
        <v>78824.328280749105</v>
      </c>
      <c r="K258" s="530">
        <v>79909.88784267017</v>
      </c>
      <c r="L258" s="530">
        <v>94366.650783618548</v>
      </c>
      <c r="M258" s="530">
        <v>103664.5274707702</v>
      </c>
      <c r="N258" s="530">
        <v>150283.99415575468</v>
      </c>
      <c r="O258" s="530">
        <v>171765.14756162761</v>
      </c>
      <c r="P258" s="530">
        <v>92857.091707994463</v>
      </c>
      <c r="Q258" s="530">
        <v>74419.37961981543</v>
      </c>
      <c r="R258" s="530">
        <v>40284.376035392132</v>
      </c>
      <c r="S258" s="530">
        <v>30275.031819072963</v>
      </c>
      <c r="T258" s="530">
        <v>963934.40852862468</v>
      </c>
      <c r="U258" s="530" t="s">
        <v>57</v>
      </c>
    </row>
    <row r="259" spans="1:21" ht="13.8" x14ac:dyDescent="0.3">
      <c r="A259" s="530" t="str">
        <f t="shared" si="6"/>
        <v>Gwynedd.2016.Economic Impact.Indirect Expenditure</v>
      </c>
      <c r="B259" s="530" t="s">
        <v>219</v>
      </c>
      <c r="C259" s="530" t="str">
        <f t="shared" si="7"/>
        <v>2016.Economic Impact.Indirect Expenditure</v>
      </c>
      <c r="D259" s="530" t="s">
        <v>235</v>
      </c>
      <c r="E259" s="530" t="s">
        <v>17</v>
      </c>
      <c r="F259" s="530" t="s">
        <v>45</v>
      </c>
      <c r="G259" s="530" t="s">
        <v>45</v>
      </c>
      <c r="H259" s="530">
        <v>5182.4714742480191</v>
      </c>
      <c r="I259" s="530">
        <v>7978.3175014567314</v>
      </c>
      <c r="J259" s="530">
        <v>25843.779734596152</v>
      </c>
      <c r="K259" s="530">
        <v>19400.690178551435</v>
      </c>
      <c r="L259" s="530">
        <v>22429.132481815694</v>
      </c>
      <c r="M259" s="530">
        <v>27129.900538415488</v>
      </c>
      <c r="N259" s="530">
        <v>35859.618644096729</v>
      </c>
      <c r="O259" s="530">
        <v>42664.500443327343</v>
      </c>
      <c r="P259" s="530">
        <v>26942.386042439444</v>
      </c>
      <c r="Q259" s="530">
        <v>20794.620983205405</v>
      </c>
      <c r="R259" s="530">
        <v>12642.613719624111</v>
      </c>
      <c r="S259" s="530">
        <v>10228.797102551014</v>
      </c>
      <c r="T259" s="530">
        <v>257096.8288443276</v>
      </c>
      <c r="U259" s="530" t="s">
        <v>57</v>
      </c>
    </row>
    <row r="260" spans="1:21" ht="13.8" x14ac:dyDescent="0.3">
      <c r="A260" s="530" t="str">
        <f t="shared" si="6"/>
        <v>Gwynedd.2016.Economic Impact.Direct Revenue</v>
      </c>
      <c r="B260" s="530" t="s">
        <v>219</v>
      </c>
      <c r="C260" s="530" t="str">
        <f t="shared" si="7"/>
        <v>2016.Economic Impact.Direct Revenue</v>
      </c>
      <c r="D260" s="530" t="s">
        <v>235</v>
      </c>
      <c r="E260" s="530" t="s">
        <v>17</v>
      </c>
      <c r="F260" s="530" t="s">
        <v>46</v>
      </c>
      <c r="G260" s="530" t="s">
        <v>46</v>
      </c>
      <c r="H260" s="530">
        <v>12473.849002189841</v>
      </c>
      <c r="I260" s="530">
        <v>19420.392289977917</v>
      </c>
      <c r="J260" s="530">
        <v>63517.444348842844</v>
      </c>
      <c r="K260" s="530">
        <v>47012.908297568065</v>
      </c>
      <c r="L260" s="530">
        <v>54613.715261506964</v>
      </c>
      <c r="M260" s="530">
        <v>65797.28180874903</v>
      </c>
      <c r="N260" s="530">
        <v>87336.456978220114</v>
      </c>
      <c r="O260" s="530">
        <v>103329.14164612455</v>
      </c>
      <c r="P260" s="530">
        <v>65562.384733687766</v>
      </c>
      <c r="Q260" s="530">
        <v>50023.418946136262</v>
      </c>
      <c r="R260" s="530">
        <v>31162.148217713304</v>
      </c>
      <c r="S260" s="530">
        <v>25066.00136316858</v>
      </c>
      <c r="T260" s="530">
        <v>625315.14289388526</v>
      </c>
      <c r="U260" s="530" t="s">
        <v>57</v>
      </c>
    </row>
    <row r="261" spans="1:21" ht="13.8" x14ac:dyDescent="0.3">
      <c r="A261" s="530" t="str">
        <f t="shared" si="6"/>
        <v>Gwynedd.2016.Economic Impact.VAT</v>
      </c>
      <c r="B261" s="530" t="s">
        <v>219</v>
      </c>
      <c r="C261" s="530" t="str">
        <f t="shared" si="7"/>
        <v>2016.Economic Impact.VAT</v>
      </c>
      <c r="D261" s="530" t="s">
        <v>235</v>
      </c>
      <c r="E261" s="530" t="s">
        <v>17</v>
      </c>
      <c r="F261" s="530" t="s">
        <v>47</v>
      </c>
      <c r="G261" s="530" t="s">
        <v>47</v>
      </c>
      <c r="H261" s="530">
        <v>2494.769800437969</v>
      </c>
      <c r="I261" s="530">
        <v>3884.0784579955844</v>
      </c>
      <c r="J261" s="530">
        <v>12703.488869768571</v>
      </c>
      <c r="K261" s="530">
        <v>9402.581659513613</v>
      </c>
      <c r="L261" s="530">
        <v>10922.743052301394</v>
      </c>
      <c r="M261" s="530">
        <v>13159.456361749808</v>
      </c>
      <c r="N261" s="530">
        <v>17467.291395644021</v>
      </c>
      <c r="O261" s="530">
        <v>20665.828329224914</v>
      </c>
      <c r="P261" s="530">
        <v>13112.476946737555</v>
      </c>
      <c r="Q261" s="530">
        <v>10004.683789227252</v>
      </c>
      <c r="R261" s="530">
        <v>6232.4296435426604</v>
      </c>
      <c r="S261" s="530">
        <v>5013.2002726337159</v>
      </c>
      <c r="T261" s="530">
        <v>125063.02857877704</v>
      </c>
      <c r="U261" s="530" t="s">
        <v>57</v>
      </c>
    </row>
    <row r="262" spans="1:21" ht="13.8" x14ac:dyDescent="0.3">
      <c r="A262" s="530" t="str">
        <f t="shared" si="6"/>
        <v>Gwynedd.2016.Economic Impact.Serviced Accommodation</v>
      </c>
      <c r="B262" s="530" t="s">
        <v>219</v>
      </c>
      <c r="C262" s="530" t="str">
        <f t="shared" si="7"/>
        <v>2016.Economic Impact.Serviced Accommodation</v>
      </c>
      <c r="D262" s="530" t="s">
        <v>235</v>
      </c>
      <c r="E262" s="530" t="s">
        <v>17</v>
      </c>
      <c r="F262" s="530" t="s">
        <v>43</v>
      </c>
      <c r="G262" s="530" t="s">
        <v>43</v>
      </c>
      <c r="H262" s="530">
        <v>2230.1643510562371</v>
      </c>
      <c r="I262" s="530">
        <v>4362.6101339800871</v>
      </c>
      <c r="J262" s="530">
        <v>6138.2040807849717</v>
      </c>
      <c r="K262" s="530">
        <v>7833.6158976919978</v>
      </c>
      <c r="L262" s="530">
        <v>9426.1540247609664</v>
      </c>
      <c r="M262" s="530">
        <v>10123.820273008449</v>
      </c>
      <c r="N262" s="530">
        <v>16510.067391589186</v>
      </c>
      <c r="O262" s="530">
        <v>17547.589856015347</v>
      </c>
      <c r="P262" s="530">
        <v>14091.383712898683</v>
      </c>
      <c r="Q262" s="530">
        <v>8083.2115366085454</v>
      </c>
      <c r="R262" s="530">
        <v>4775.1276586440645</v>
      </c>
      <c r="S262" s="530">
        <v>4220.0356816935509</v>
      </c>
      <c r="T262" s="530">
        <v>105341.98459873209</v>
      </c>
      <c r="U262" s="530" t="s">
        <v>57</v>
      </c>
    </row>
    <row r="263" spans="1:21" ht="13.8" x14ac:dyDescent="0.3">
      <c r="A263" s="530" t="str">
        <f t="shared" si="6"/>
        <v>Gwynedd.2016.Economic Impact.Non-Serviced Accommodation</v>
      </c>
      <c r="B263" s="530" t="s">
        <v>219</v>
      </c>
      <c r="C263" s="530" t="str">
        <f t="shared" si="7"/>
        <v>2016.Economic Impact.Non-Serviced Accommodation</v>
      </c>
      <c r="D263" s="530" t="s">
        <v>235</v>
      </c>
      <c r="E263" s="530" t="s">
        <v>17</v>
      </c>
      <c r="F263" s="530" t="s">
        <v>48</v>
      </c>
      <c r="G263" s="530" t="s">
        <v>48</v>
      </c>
      <c r="H263" s="530">
        <v>14311.556646296143</v>
      </c>
      <c r="I263" s="530">
        <v>22066.579670039551</v>
      </c>
      <c r="J263" s="530">
        <v>78773.944678251763</v>
      </c>
      <c r="K263" s="530">
        <v>50590.71291870017</v>
      </c>
      <c r="L263" s="530">
        <v>61677.761590943497</v>
      </c>
      <c r="M263" s="530">
        <v>70897.462856145052</v>
      </c>
      <c r="N263" s="530">
        <v>102000.30739623222</v>
      </c>
      <c r="O263" s="530">
        <v>119156.4156171748</v>
      </c>
      <c r="P263" s="530">
        <v>77355.057013727084</v>
      </c>
      <c r="Q263" s="530">
        <v>58352.77055133033</v>
      </c>
      <c r="R263" s="530">
        <v>40588.092100052607</v>
      </c>
      <c r="S263" s="530">
        <v>30951.912913996111</v>
      </c>
      <c r="T263" s="530">
        <v>726722.5739528893</v>
      </c>
      <c r="U263" s="530" t="s">
        <v>57</v>
      </c>
    </row>
    <row r="264" spans="1:21" ht="13.8" x14ac:dyDescent="0.3">
      <c r="A264" s="530" t="str">
        <f t="shared" si="6"/>
        <v>Gwynedd.2016.Economic Impact.SFR</v>
      </c>
      <c r="B264" s="530" t="s">
        <v>219</v>
      </c>
      <c r="C264" s="530" t="str">
        <f t="shared" si="7"/>
        <v>2016.Economic Impact.SFR</v>
      </c>
      <c r="D264" s="530" t="s">
        <v>235</v>
      </c>
      <c r="E264" s="530" t="s">
        <v>17</v>
      </c>
      <c r="F264" s="530" t="s">
        <v>18</v>
      </c>
      <c r="G264" s="530" t="s">
        <v>18</v>
      </c>
      <c r="H264" s="530">
        <v>2013.5219396667135</v>
      </c>
      <c r="I264" s="530">
        <v>676.54337172801547</v>
      </c>
      <c r="J264" s="530">
        <v>769.61283027261038</v>
      </c>
      <c r="K264" s="530">
        <v>1836.3320089760427</v>
      </c>
      <c r="L264" s="530">
        <v>1181.2662046044716</v>
      </c>
      <c r="M264" s="530">
        <v>909.95083497418113</v>
      </c>
      <c r="N264" s="530">
        <v>1476.5827557555899</v>
      </c>
      <c r="O264" s="530">
        <v>1563.1015562564685</v>
      </c>
      <c r="P264" s="530">
        <v>805.12419809921266</v>
      </c>
      <c r="Q264" s="530">
        <v>804.33489749886314</v>
      </c>
      <c r="R264" s="530">
        <v>626.74226242025884</v>
      </c>
      <c r="S264" s="530">
        <v>1814.8544416195978</v>
      </c>
      <c r="T264" s="530">
        <v>14477.967301872026</v>
      </c>
      <c r="U264" s="530" t="s">
        <v>57</v>
      </c>
    </row>
    <row r="265" spans="1:21" ht="13.8" x14ac:dyDescent="0.3">
      <c r="A265" s="530" t="str">
        <f t="shared" ref="A265:A328" si="8">B265&amp;"."&amp;D265&amp;"."&amp;E265&amp;"."&amp;F265</f>
        <v>Gwynedd.2016.Economic Impact.Day Visitor</v>
      </c>
      <c r="B265" s="530" t="s">
        <v>219</v>
      </c>
      <c r="C265" s="530" t="str">
        <f t="shared" ref="C265:C328" si="9">D265&amp;"."&amp;E265&amp;"."&amp;F265</f>
        <v>2016.Economic Impact.Day Visitor</v>
      </c>
      <c r="D265" s="530" t="s">
        <v>235</v>
      </c>
      <c r="E265" s="530" t="s">
        <v>17</v>
      </c>
      <c r="F265" s="530" t="s">
        <v>71</v>
      </c>
      <c r="G265" s="530" t="s">
        <v>71</v>
      </c>
      <c r="H265" s="530">
        <v>1595.8473398567389</v>
      </c>
      <c r="I265" s="530">
        <v>4177.0550736825808</v>
      </c>
      <c r="J265" s="530">
        <v>16382.951363898228</v>
      </c>
      <c r="K265" s="530">
        <v>15555.519310264899</v>
      </c>
      <c r="L265" s="530">
        <v>15680.408975315113</v>
      </c>
      <c r="M265" s="530">
        <v>24155.404744786647</v>
      </c>
      <c r="N265" s="530">
        <v>20676.409474383861</v>
      </c>
      <c r="O265" s="530">
        <v>28392.363389230177</v>
      </c>
      <c r="P265" s="530">
        <v>13365.68279813978</v>
      </c>
      <c r="Q265" s="530">
        <v>13582.406733131174</v>
      </c>
      <c r="R265" s="530">
        <v>4047.2295597631364</v>
      </c>
      <c r="S265" s="530">
        <v>3321.1957010440451</v>
      </c>
      <c r="T265" s="530">
        <v>160932.47446349642</v>
      </c>
      <c r="U265" s="530" t="s">
        <v>57</v>
      </c>
    </row>
    <row r="266" spans="1:21" ht="13.8" x14ac:dyDescent="0.3">
      <c r="A266" s="530" t="str">
        <f t="shared" si="8"/>
        <v>Gwynedd.2016.Economic Impact.Accommodation</v>
      </c>
      <c r="B266" s="530" t="s">
        <v>219</v>
      </c>
      <c r="C266" s="530" t="str">
        <f t="shared" si="9"/>
        <v>2016.Economic Impact.Accommodation</v>
      </c>
      <c r="D266" s="530" t="s">
        <v>235</v>
      </c>
      <c r="E266" s="530" t="s">
        <v>17</v>
      </c>
      <c r="F266" s="530" t="s">
        <v>23</v>
      </c>
      <c r="G266" s="530" t="s">
        <v>23</v>
      </c>
      <c r="H266" s="530">
        <v>2440.1846436479532</v>
      </c>
      <c r="I266" s="530">
        <v>4152.4735967831448</v>
      </c>
      <c r="J266" s="530">
        <v>9851.0713010643012</v>
      </c>
      <c r="K266" s="530">
        <v>7458.3518092990489</v>
      </c>
      <c r="L266" s="530">
        <v>8684.7939430551378</v>
      </c>
      <c r="M266" s="530">
        <v>10545.283918229965</v>
      </c>
      <c r="N266" s="530">
        <v>20702.717552750015</v>
      </c>
      <c r="O266" s="530">
        <v>24414.661003674551</v>
      </c>
      <c r="P266" s="530">
        <v>18207.400371031286</v>
      </c>
      <c r="Q266" s="530">
        <v>8433.3466371669147</v>
      </c>
      <c r="R266" s="530">
        <v>5993.7853766770686</v>
      </c>
      <c r="S266" s="530">
        <v>5174.9386072312955</v>
      </c>
      <c r="T266" s="530">
        <v>126059.00876061068</v>
      </c>
      <c r="U266" s="530" t="s">
        <v>57</v>
      </c>
    </row>
    <row r="267" spans="1:21" ht="13.8" x14ac:dyDescent="0.3">
      <c r="A267" s="530" t="str">
        <f t="shared" si="8"/>
        <v>Gwynedd.2016.Economic Impact.Food &amp; Drink</v>
      </c>
      <c r="B267" s="530" t="s">
        <v>219</v>
      </c>
      <c r="C267" s="530" t="str">
        <f t="shared" si="9"/>
        <v>2016.Economic Impact.Food &amp; Drink</v>
      </c>
      <c r="D267" s="530" t="s">
        <v>235</v>
      </c>
      <c r="E267" s="530" t="s">
        <v>17</v>
      </c>
      <c r="F267" s="530" t="s">
        <v>49</v>
      </c>
      <c r="G267" s="530" t="s">
        <v>49</v>
      </c>
      <c r="H267" s="530">
        <v>3498.7557742781655</v>
      </c>
      <c r="I267" s="530">
        <v>4864.0879806137073</v>
      </c>
      <c r="J267" s="530">
        <v>16340.132165704817</v>
      </c>
      <c r="K267" s="530">
        <v>12598.869802745712</v>
      </c>
      <c r="L267" s="530">
        <v>14756.016354395859</v>
      </c>
      <c r="M267" s="530">
        <v>17240.053844698701</v>
      </c>
      <c r="N267" s="530">
        <v>21358.679705927803</v>
      </c>
      <c r="O267" s="530">
        <v>24812.793818326132</v>
      </c>
      <c r="P267" s="530">
        <v>15296.547531591978</v>
      </c>
      <c r="Q267" s="530">
        <v>13171.409193845591</v>
      </c>
      <c r="R267" s="530">
        <v>8133.2811165211924</v>
      </c>
      <c r="S267" s="530">
        <v>6496.3835846969587</v>
      </c>
      <c r="T267" s="530">
        <v>158567.01087334659</v>
      </c>
      <c r="U267" s="530" t="s">
        <v>57</v>
      </c>
    </row>
    <row r="268" spans="1:21" ht="13.8" x14ac:dyDescent="0.3">
      <c r="A268" s="530" t="str">
        <f t="shared" si="8"/>
        <v>Gwynedd.2016.Economic Impact.Recreation</v>
      </c>
      <c r="B268" s="530" t="s">
        <v>219</v>
      </c>
      <c r="C268" s="530" t="str">
        <f t="shared" si="9"/>
        <v>2016.Economic Impact.Recreation</v>
      </c>
      <c r="D268" s="530" t="s">
        <v>235</v>
      </c>
      <c r="E268" s="530" t="s">
        <v>17</v>
      </c>
      <c r="F268" s="530" t="s">
        <v>50</v>
      </c>
      <c r="G268" s="530" t="s">
        <v>50</v>
      </c>
      <c r="H268" s="530">
        <v>910.36079153941546</v>
      </c>
      <c r="I268" s="530">
        <v>1782.3360135660014</v>
      </c>
      <c r="J268" s="530">
        <v>7398.8033381869172</v>
      </c>
      <c r="K268" s="530">
        <v>3984.0174730587109</v>
      </c>
      <c r="L268" s="530">
        <v>4819.1337001983848</v>
      </c>
      <c r="M268" s="530">
        <v>5918.1960526793209</v>
      </c>
      <c r="N268" s="530">
        <v>7430.5194610612616</v>
      </c>
      <c r="O268" s="530">
        <v>8880.3681678043122</v>
      </c>
      <c r="P268" s="530">
        <v>5359.4295777124235</v>
      </c>
      <c r="Q268" s="530">
        <v>4460.773486005206</v>
      </c>
      <c r="R268" s="530">
        <v>3388.8086886919041</v>
      </c>
      <c r="S268" s="530">
        <v>2569.6502941323138</v>
      </c>
      <c r="T268" s="530">
        <v>56902.397044636171</v>
      </c>
      <c r="U268" s="530" t="s">
        <v>57</v>
      </c>
    </row>
    <row r="269" spans="1:21" ht="13.8" x14ac:dyDescent="0.3">
      <c r="A269" s="530" t="str">
        <f t="shared" si="8"/>
        <v>Gwynedd.2016.Economic Impact.Shopping</v>
      </c>
      <c r="B269" s="530" t="s">
        <v>219</v>
      </c>
      <c r="C269" s="530" t="str">
        <f t="shared" si="9"/>
        <v>2016.Economic Impact.Shopping</v>
      </c>
      <c r="D269" s="530" t="s">
        <v>235</v>
      </c>
      <c r="E269" s="530" t="s">
        <v>17</v>
      </c>
      <c r="F269" s="530" t="s">
        <v>51</v>
      </c>
      <c r="G269" s="530" t="s">
        <v>51</v>
      </c>
      <c r="H269" s="530">
        <v>4210.1359636315892</v>
      </c>
      <c r="I269" s="530">
        <v>6319.2351813524056</v>
      </c>
      <c r="J269" s="530">
        <v>21430.630922390035</v>
      </c>
      <c r="K269" s="530">
        <v>17172.129928962739</v>
      </c>
      <c r="L269" s="530">
        <v>19515.591323657147</v>
      </c>
      <c r="M269" s="530">
        <v>23915.833756413409</v>
      </c>
      <c r="N269" s="530">
        <v>27774.46432983717</v>
      </c>
      <c r="O269" s="530">
        <v>33329.78741527599</v>
      </c>
      <c r="P269" s="530">
        <v>19548.802835607385</v>
      </c>
      <c r="Q269" s="530">
        <v>17747.305270719175</v>
      </c>
      <c r="R269" s="530">
        <v>9677.0676689496013</v>
      </c>
      <c r="S269" s="530">
        <v>7761.5013052258655</v>
      </c>
      <c r="T269" s="530">
        <v>208402.48590202248</v>
      </c>
      <c r="U269" s="530" t="s">
        <v>57</v>
      </c>
    </row>
    <row r="270" spans="1:21" ht="13.8" x14ac:dyDescent="0.3">
      <c r="A270" s="530" t="str">
        <f t="shared" si="8"/>
        <v>Gwynedd.2016.Economic Impact.Transport</v>
      </c>
      <c r="B270" s="530" t="s">
        <v>219</v>
      </c>
      <c r="C270" s="530" t="str">
        <f t="shared" si="9"/>
        <v>2016.Economic Impact.Transport</v>
      </c>
      <c r="D270" s="530" t="s">
        <v>235</v>
      </c>
      <c r="E270" s="530" t="s">
        <v>17</v>
      </c>
      <c r="F270" s="530" t="s">
        <v>52</v>
      </c>
      <c r="G270" s="530" t="s">
        <v>52</v>
      </c>
      <c r="H270" s="530">
        <v>1414.4118290927202</v>
      </c>
      <c r="I270" s="530">
        <v>2302.2595176626587</v>
      </c>
      <c r="J270" s="530">
        <v>8496.8066214967785</v>
      </c>
      <c r="K270" s="530">
        <v>5799.5392835018583</v>
      </c>
      <c r="L270" s="530">
        <v>6838.1799402004381</v>
      </c>
      <c r="M270" s="530">
        <v>8177.9142367276399</v>
      </c>
      <c r="N270" s="530">
        <v>10070.075928643862</v>
      </c>
      <c r="O270" s="530">
        <v>11891.531241043571</v>
      </c>
      <c r="P270" s="530">
        <v>7150.2044177446942</v>
      </c>
      <c r="Q270" s="530">
        <v>6210.5843583993756</v>
      </c>
      <c r="R270" s="530">
        <v>3969.2053668735361</v>
      </c>
      <c r="S270" s="530">
        <v>3063.5275718821435</v>
      </c>
      <c r="T270" s="530">
        <v>75384.240313269285</v>
      </c>
      <c r="U270" s="530" t="s">
        <v>57</v>
      </c>
    </row>
    <row r="271" spans="1:21" ht="13.8" x14ac:dyDescent="0.3">
      <c r="A271" s="530" t="str">
        <f t="shared" si="8"/>
        <v>Gwynedd.2016.Economic Impact.Direct Expenditure</v>
      </c>
      <c r="B271" s="530" t="s">
        <v>219</v>
      </c>
      <c r="C271" s="530" t="str">
        <f t="shared" si="9"/>
        <v>2016.Economic Impact.Direct Expenditure</v>
      </c>
      <c r="D271" s="530" t="s">
        <v>235</v>
      </c>
      <c r="E271" s="530" t="s">
        <v>17</v>
      </c>
      <c r="F271" s="530" t="s">
        <v>44</v>
      </c>
      <c r="G271" s="530" t="s">
        <v>44</v>
      </c>
      <c r="H271" s="530">
        <v>14968.618802627814</v>
      </c>
      <c r="I271" s="530">
        <v>23304.470747973501</v>
      </c>
      <c r="J271" s="530">
        <v>76220.933218611433</v>
      </c>
      <c r="K271" s="530">
        <v>56415.489957081671</v>
      </c>
      <c r="L271" s="530">
        <v>65536.458313808354</v>
      </c>
      <c r="M271" s="530">
        <v>78956.738170498837</v>
      </c>
      <c r="N271" s="530">
        <v>104803.74837386413</v>
      </c>
      <c r="O271" s="530">
        <v>123994.96997534946</v>
      </c>
      <c r="P271" s="530">
        <v>78674.861680425325</v>
      </c>
      <c r="Q271" s="530">
        <v>60028.102735363507</v>
      </c>
      <c r="R271" s="530">
        <v>37394.577861255959</v>
      </c>
      <c r="S271" s="530">
        <v>30079.201635802296</v>
      </c>
      <c r="T271" s="530">
        <v>750378.17147266236</v>
      </c>
      <c r="U271" s="530" t="s">
        <v>57</v>
      </c>
    </row>
    <row r="272" spans="1:21" ht="13.8" x14ac:dyDescent="0.3">
      <c r="A272" s="530" t="str">
        <f t="shared" si="8"/>
        <v>Gwynedd.2016.Population.Total</v>
      </c>
      <c r="B272" s="530" t="s">
        <v>219</v>
      </c>
      <c r="C272" s="530" t="str">
        <f t="shared" si="9"/>
        <v>2016.Population.Total</v>
      </c>
      <c r="D272" s="530" t="s">
        <v>235</v>
      </c>
      <c r="E272" s="530" t="s">
        <v>19</v>
      </c>
      <c r="F272" s="530" t="s">
        <v>54</v>
      </c>
      <c r="G272" s="530" t="s">
        <v>54</v>
      </c>
      <c r="H272" s="530">
        <v>122864</v>
      </c>
      <c r="I272" s="530">
        <v>122864</v>
      </c>
      <c r="J272" s="530">
        <v>122864</v>
      </c>
      <c r="K272" s="530">
        <v>122864</v>
      </c>
      <c r="L272" s="530">
        <v>122864</v>
      </c>
      <c r="M272" s="530">
        <v>122864</v>
      </c>
      <c r="N272" s="530">
        <v>122864</v>
      </c>
      <c r="O272" s="530">
        <v>122864</v>
      </c>
      <c r="P272" s="530">
        <v>122864</v>
      </c>
      <c r="Q272" s="530">
        <v>122864</v>
      </c>
      <c r="R272" s="530">
        <v>122864</v>
      </c>
      <c r="S272" s="530">
        <v>122864</v>
      </c>
      <c r="T272" s="530">
        <v>122864</v>
      </c>
      <c r="U272" s="530" t="s">
        <v>60</v>
      </c>
    </row>
    <row r="273" spans="1:21" ht="13.8" x14ac:dyDescent="0.3">
      <c r="A273" s="530" t="str">
        <f t="shared" si="8"/>
        <v>Gwynedd.2016.Employment.Serviced Accommodation</v>
      </c>
      <c r="B273" s="530" t="s">
        <v>219</v>
      </c>
      <c r="C273" s="530" t="str">
        <f t="shared" si="9"/>
        <v>2016.Employment.Serviced Accommodation</v>
      </c>
      <c r="D273" s="530" t="s">
        <v>235</v>
      </c>
      <c r="E273" s="530" t="s">
        <v>20</v>
      </c>
      <c r="F273" s="530" t="s">
        <v>43</v>
      </c>
      <c r="G273" s="530" t="s">
        <v>43</v>
      </c>
      <c r="H273" s="530">
        <v>1314.2448275726863</v>
      </c>
      <c r="I273" s="530">
        <v>1486.3448074114244</v>
      </c>
      <c r="J273" s="530">
        <v>1688.2511368337791</v>
      </c>
      <c r="K273" s="530">
        <v>1828.8155937761476</v>
      </c>
      <c r="L273" s="530">
        <v>1921.2271172572857</v>
      </c>
      <c r="M273" s="530">
        <v>1977.5527125319179</v>
      </c>
      <c r="N273" s="530">
        <v>2141.5075926294917</v>
      </c>
      <c r="O273" s="530">
        <v>2218.269950899451</v>
      </c>
      <c r="P273" s="530">
        <v>1992.9999505206424</v>
      </c>
      <c r="Q273" s="530">
        <v>1823.736145629091</v>
      </c>
      <c r="R273" s="530">
        <v>1547.5539596308174</v>
      </c>
      <c r="S273" s="530">
        <v>1497.2622040796577</v>
      </c>
      <c r="T273" s="530">
        <v>1786.4804998976997</v>
      </c>
      <c r="U273" s="530" t="s">
        <v>59</v>
      </c>
    </row>
    <row r="274" spans="1:21" ht="13.8" x14ac:dyDescent="0.3">
      <c r="A274" s="530" t="str">
        <f t="shared" si="8"/>
        <v>Gwynedd.2016.Employment.Non-Serviced Accommodation</v>
      </c>
      <c r="B274" s="530" t="s">
        <v>219</v>
      </c>
      <c r="C274" s="530" t="str">
        <f t="shared" si="9"/>
        <v>2016.Employment.Non-Serviced Accommodation</v>
      </c>
      <c r="D274" s="530" t="s">
        <v>235</v>
      </c>
      <c r="E274" s="530" t="s">
        <v>20</v>
      </c>
      <c r="F274" s="530" t="s">
        <v>48</v>
      </c>
      <c r="G274" s="530" t="s">
        <v>48</v>
      </c>
      <c r="H274" s="530">
        <v>4184.8615896265537</v>
      </c>
      <c r="I274" s="530">
        <v>4930.6630383454085</v>
      </c>
      <c r="J274" s="530">
        <v>11450.811571277029</v>
      </c>
      <c r="K274" s="530">
        <v>8507.5241021564652</v>
      </c>
      <c r="L274" s="530">
        <v>9779.3457157145003</v>
      </c>
      <c r="M274" s="530">
        <v>10587.130668555303</v>
      </c>
      <c r="N274" s="530">
        <v>13069.854685924643</v>
      </c>
      <c r="O274" s="530">
        <v>15639.876844272028</v>
      </c>
      <c r="P274" s="530">
        <v>10338.156703197943</v>
      </c>
      <c r="Q274" s="530">
        <v>9230.7070432347246</v>
      </c>
      <c r="R274" s="530">
        <v>6991.2524231962361</v>
      </c>
      <c r="S274" s="530">
        <v>5883.9731371575972</v>
      </c>
      <c r="T274" s="530">
        <v>9216.1797935548693</v>
      </c>
      <c r="U274" s="530" t="s">
        <v>59</v>
      </c>
    </row>
    <row r="275" spans="1:21" ht="13.8" x14ac:dyDescent="0.3">
      <c r="A275" s="530" t="str">
        <f t="shared" si="8"/>
        <v>Gwynedd.2016.Employment.SFR</v>
      </c>
      <c r="B275" s="530" t="s">
        <v>219</v>
      </c>
      <c r="C275" s="530" t="str">
        <f t="shared" si="9"/>
        <v>2016.Employment.SFR</v>
      </c>
      <c r="D275" s="530" t="s">
        <v>235</v>
      </c>
      <c r="E275" s="530" t="s">
        <v>20</v>
      </c>
      <c r="F275" s="530" t="s">
        <v>18</v>
      </c>
      <c r="G275" s="530" t="s">
        <v>18</v>
      </c>
      <c r="H275" s="530">
        <v>257.68098047679246</v>
      </c>
      <c r="I275" s="530">
        <v>86.580809440202245</v>
      </c>
      <c r="J275" s="530">
        <v>98.491396982240715</v>
      </c>
      <c r="K275" s="530">
        <v>235.00505419483477</v>
      </c>
      <c r="L275" s="530">
        <v>151.17284187971825</v>
      </c>
      <c r="M275" s="530">
        <v>116.45118869707207</v>
      </c>
      <c r="N275" s="530">
        <v>188.96605234964784</v>
      </c>
      <c r="O275" s="530">
        <v>200.03831776853505</v>
      </c>
      <c r="P275" s="530">
        <v>103.03597327880961</v>
      </c>
      <c r="Q275" s="530">
        <v>102.93496233446271</v>
      </c>
      <c r="R275" s="530">
        <v>80.207499856409598</v>
      </c>
      <c r="S275" s="530">
        <v>232.25645706974899</v>
      </c>
      <c r="T275" s="530">
        <v>154.40179452737286</v>
      </c>
      <c r="U275" s="530" t="s">
        <v>59</v>
      </c>
    </row>
    <row r="276" spans="1:21" ht="13.8" x14ac:dyDescent="0.3">
      <c r="A276" s="530" t="str">
        <f t="shared" si="8"/>
        <v>Gwynedd.2016.Employment.Day Visitor</v>
      </c>
      <c r="B276" s="530" t="s">
        <v>219</v>
      </c>
      <c r="C276" s="530" t="str">
        <f t="shared" si="9"/>
        <v>2016.Employment.Day Visitor</v>
      </c>
      <c r="D276" s="530" t="s">
        <v>235</v>
      </c>
      <c r="E276" s="530" t="s">
        <v>20</v>
      </c>
      <c r="F276" s="530" t="s">
        <v>71</v>
      </c>
      <c r="G276" s="530" t="s">
        <v>71</v>
      </c>
      <c r="H276" s="530">
        <v>186.55433723887791</v>
      </c>
      <c r="I276" s="530">
        <v>488.29717067492186</v>
      </c>
      <c r="J276" s="530">
        <v>1915.1647888720809</v>
      </c>
      <c r="K276" s="530">
        <v>1818.4380942061453</v>
      </c>
      <c r="L276" s="530">
        <v>1833.0376790846833</v>
      </c>
      <c r="M276" s="530">
        <v>2823.7635332368659</v>
      </c>
      <c r="N276" s="530">
        <v>2417.0694587363282</v>
      </c>
      <c r="O276" s="530">
        <v>3319.0634231960489</v>
      </c>
      <c r="P276" s="530">
        <v>1562.4465034204807</v>
      </c>
      <c r="Q276" s="530">
        <v>1587.7815019797733</v>
      </c>
      <c r="R276" s="530">
        <v>473.12058573408854</v>
      </c>
      <c r="S276" s="530">
        <v>388.24732627903052</v>
      </c>
      <c r="T276" s="530">
        <v>1567.7487002216105</v>
      </c>
      <c r="U276" s="530" t="s">
        <v>59</v>
      </c>
    </row>
    <row r="277" spans="1:21" ht="13.8" x14ac:dyDescent="0.3">
      <c r="A277" s="530" t="str">
        <f t="shared" si="8"/>
        <v>Gwynedd.2016.Employment.Direct Employment</v>
      </c>
      <c r="B277" s="530" t="s">
        <v>219</v>
      </c>
      <c r="C277" s="530" t="str">
        <f t="shared" si="9"/>
        <v>2016.Employment.Direct Employment</v>
      </c>
      <c r="D277" s="530" t="s">
        <v>235</v>
      </c>
      <c r="E277" s="530" t="s">
        <v>20</v>
      </c>
      <c r="F277" s="530" t="s">
        <v>55</v>
      </c>
      <c r="G277" s="530" t="s">
        <v>55</v>
      </c>
      <c r="H277" s="530">
        <v>5943.3417349149113</v>
      </c>
      <c r="I277" s="530">
        <v>6991.8858258719565</v>
      </c>
      <c r="J277" s="530">
        <v>15152.718893965128</v>
      </c>
      <c r="K277" s="530">
        <v>12389.782844333593</v>
      </c>
      <c r="L277" s="530">
        <v>13684.783353936187</v>
      </c>
      <c r="M277" s="530">
        <v>15504.89810302116</v>
      </c>
      <c r="N277" s="530">
        <v>17817.397789640112</v>
      </c>
      <c r="O277" s="530">
        <v>21377.248536136067</v>
      </c>
      <c r="P277" s="530">
        <v>13996.639130417876</v>
      </c>
      <c r="Q277" s="530">
        <v>12745.159653178051</v>
      </c>
      <c r="R277" s="530">
        <v>9092.134468417551</v>
      </c>
      <c r="S277" s="530">
        <v>8001.7391245860344</v>
      </c>
      <c r="T277" s="530">
        <v>12724.810788201552</v>
      </c>
      <c r="U277" s="530" t="s">
        <v>59</v>
      </c>
    </row>
    <row r="278" spans="1:21" ht="13.8" x14ac:dyDescent="0.3">
      <c r="A278" s="530" t="str">
        <f t="shared" si="8"/>
        <v>Gwynedd.2016.Employment.Indirect Employment</v>
      </c>
      <c r="B278" s="530" t="s">
        <v>219</v>
      </c>
      <c r="C278" s="530" t="str">
        <f t="shared" si="9"/>
        <v>2016.Employment.Indirect Employment</v>
      </c>
      <c r="D278" s="530" t="s">
        <v>235</v>
      </c>
      <c r="E278" s="530" t="s">
        <v>20</v>
      </c>
      <c r="F278" s="530" t="s">
        <v>53</v>
      </c>
      <c r="G278" s="530" t="s">
        <v>53</v>
      </c>
      <c r="H278" s="530">
        <v>685.06285429064837</v>
      </c>
      <c r="I278" s="530">
        <v>1054.6413978627936</v>
      </c>
      <c r="J278" s="530">
        <v>3416.2491001863568</v>
      </c>
      <c r="K278" s="530">
        <v>2564.547099770672</v>
      </c>
      <c r="L278" s="530">
        <v>2964.8721837847229</v>
      </c>
      <c r="M278" s="530">
        <v>3586.2594115223974</v>
      </c>
      <c r="N278" s="530">
        <v>4740.2272881132676</v>
      </c>
      <c r="O278" s="530">
        <v>5639.7540431867883</v>
      </c>
      <c r="P278" s="530">
        <v>3561.4721615640447</v>
      </c>
      <c r="Q278" s="530">
        <v>2748.8086476566586</v>
      </c>
      <c r="R278" s="530">
        <v>1671.2074699294935</v>
      </c>
      <c r="S278" s="530">
        <v>1352.1288006800437</v>
      </c>
      <c r="T278" s="530">
        <v>2832.1025382123239</v>
      </c>
      <c r="U278" s="530" t="s">
        <v>59</v>
      </c>
    </row>
    <row r="279" spans="1:21" ht="13.8" x14ac:dyDescent="0.3">
      <c r="A279" s="530" t="str">
        <f t="shared" si="8"/>
        <v>Gwynedd.2016.Employment.Total</v>
      </c>
      <c r="B279" s="530" t="s">
        <v>219</v>
      </c>
      <c r="C279" s="530" t="str">
        <f t="shared" si="9"/>
        <v>2016.Employment.Total</v>
      </c>
      <c r="D279" s="530" t="s">
        <v>235</v>
      </c>
      <c r="E279" s="530" t="s">
        <v>20</v>
      </c>
      <c r="F279" s="530" t="s">
        <v>54</v>
      </c>
      <c r="G279" s="530" t="s">
        <v>54</v>
      </c>
      <c r="H279" s="530">
        <v>6628.4045892055601</v>
      </c>
      <c r="I279" s="530">
        <v>8046.5272237347499</v>
      </c>
      <c r="J279" s="530">
        <v>18568.967994151484</v>
      </c>
      <c r="K279" s="530">
        <v>14954.329944104265</v>
      </c>
      <c r="L279" s="530">
        <v>16649.655537720912</v>
      </c>
      <c r="M279" s="530">
        <v>19091.157514543556</v>
      </c>
      <c r="N279" s="530">
        <v>22557.625077753379</v>
      </c>
      <c r="O279" s="530">
        <v>27017.002579322856</v>
      </c>
      <c r="P279" s="530">
        <v>17558.111291981921</v>
      </c>
      <c r="Q279" s="530">
        <v>15493.968300834709</v>
      </c>
      <c r="R279" s="530">
        <v>10763.341938347045</v>
      </c>
      <c r="S279" s="530">
        <v>9353.8679252660786</v>
      </c>
      <c r="T279" s="530">
        <v>15556.913326413875</v>
      </c>
      <c r="U279" s="530" t="s">
        <v>59</v>
      </c>
    </row>
    <row r="280" spans="1:21" ht="13.8" x14ac:dyDescent="0.3">
      <c r="A280" s="530" t="str">
        <f t="shared" si="8"/>
        <v>Gwynedd.2016.Employment.Accommodation</v>
      </c>
      <c r="B280" s="530" t="s">
        <v>219</v>
      </c>
      <c r="C280" s="530" t="str">
        <f t="shared" si="9"/>
        <v>2016.Employment.Accommodation</v>
      </c>
      <c r="D280" s="530" t="s">
        <v>235</v>
      </c>
      <c r="E280" s="530" t="s">
        <v>20</v>
      </c>
      <c r="F280" s="530" t="s">
        <v>23</v>
      </c>
      <c r="G280" s="530" t="s">
        <v>23</v>
      </c>
      <c r="H280" s="530">
        <v>3953.5</v>
      </c>
      <c r="I280" s="530">
        <v>3994.9</v>
      </c>
      <c r="J280" s="530">
        <v>4661</v>
      </c>
      <c r="K280" s="530">
        <v>4640.5</v>
      </c>
      <c r="L280" s="530">
        <v>4677.2</v>
      </c>
      <c r="M280" s="530">
        <v>4698.6319092122831</v>
      </c>
      <c r="N280" s="530">
        <v>4745.9899740708734</v>
      </c>
      <c r="O280" s="530">
        <v>5927.4369385375603</v>
      </c>
      <c r="P280" s="530">
        <v>4693.6332436069988</v>
      </c>
      <c r="Q280" s="530">
        <v>4600.5</v>
      </c>
      <c r="R280" s="530">
        <v>4137.4495001424521</v>
      </c>
      <c r="S280" s="530">
        <v>4079</v>
      </c>
      <c r="T280" s="530">
        <v>4567.4784637975145</v>
      </c>
      <c r="U280" s="530" t="s">
        <v>59</v>
      </c>
    </row>
    <row r="281" spans="1:21" ht="13.8" x14ac:dyDescent="0.3">
      <c r="A281" s="530" t="str">
        <f t="shared" si="8"/>
        <v>Gwynedd.2016.Employment.Food &amp; Drink</v>
      </c>
      <c r="B281" s="530" t="s">
        <v>219</v>
      </c>
      <c r="C281" s="530" t="str">
        <f t="shared" si="9"/>
        <v>2016.Employment.Food &amp; Drink</v>
      </c>
      <c r="D281" s="530" t="s">
        <v>235</v>
      </c>
      <c r="E281" s="530" t="s">
        <v>20</v>
      </c>
      <c r="F281" s="530" t="s">
        <v>49</v>
      </c>
      <c r="G281" s="530" t="s">
        <v>49</v>
      </c>
      <c r="H281" s="530">
        <v>902.00042304551357</v>
      </c>
      <c r="I281" s="530">
        <v>1253.9913327186537</v>
      </c>
      <c r="J281" s="530">
        <v>4212.5850093455401</v>
      </c>
      <c r="K281" s="530">
        <v>3248.0649193973945</v>
      </c>
      <c r="L281" s="530">
        <v>3804.1903616086429</v>
      </c>
      <c r="M281" s="530">
        <v>4444.5902670797077</v>
      </c>
      <c r="N281" s="530">
        <v>5506.3969517607184</v>
      </c>
      <c r="O281" s="530">
        <v>6396.8884840751052</v>
      </c>
      <c r="P281" s="530">
        <v>3943.5425719242589</v>
      </c>
      <c r="Q281" s="530">
        <v>3395.6690410622905</v>
      </c>
      <c r="R281" s="530">
        <v>2096.8091176251796</v>
      </c>
      <c r="S281" s="530">
        <v>1674.8070227541161</v>
      </c>
      <c r="T281" s="530">
        <v>3406.6279585330935</v>
      </c>
      <c r="U281" s="530" t="s">
        <v>59</v>
      </c>
    </row>
    <row r="282" spans="1:21" ht="13.8" x14ac:dyDescent="0.3">
      <c r="A282" s="530" t="str">
        <f t="shared" si="8"/>
        <v>Gwynedd.2016.Employment.Recreation</v>
      </c>
      <c r="B282" s="530" t="s">
        <v>219</v>
      </c>
      <c r="C282" s="530" t="str">
        <f t="shared" si="9"/>
        <v>2016.Employment.Recreation</v>
      </c>
      <c r="D282" s="530" t="s">
        <v>235</v>
      </c>
      <c r="E282" s="530" t="s">
        <v>20</v>
      </c>
      <c r="F282" s="530" t="s">
        <v>50</v>
      </c>
      <c r="G282" s="530" t="s">
        <v>50</v>
      </c>
      <c r="H282" s="530">
        <v>206.66726796947771</v>
      </c>
      <c r="I282" s="530">
        <v>404.62036365210395</v>
      </c>
      <c r="J282" s="530">
        <v>1679.6532609459791</v>
      </c>
      <c r="K282" s="530">
        <v>904.43922272552879</v>
      </c>
      <c r="L282" s="530">
        <v>1094.0247043323138</v>
      </c>
      <c r="M282" s="530">
        <v>1343.5304122080333</v>
      </c>
      <c r="N282" s="530">
        <v>1686.8533562553796</v>
      </c>
      <c r="O282" s="530">
        <v>2015.9934883616659</v>
      </c>
      <c r="P282" s="530">
        <v>1216.6809895532306</v>
      </c>
      <c r="Q282" s="530">
        <v>1012.6708860389933</v>
      </c>
      <c r="R282" s="530">
        <v>769.31678063472611</v>
      </c>
      <c r="S282" s="530">
        <v>583.35399641637241</v>
      </c>
      <c r="T282" s="530">
        <v>1076.4837274244835</v>
      </c>
      <c r="U282" s="530" t="s">
        <v>59</v>
      </c>
    </row>
    <row r="283" spans="1:21" ht="13.8" x14ac:dyDescent="0.3">
      <c r="A283" s="530" t="str">
        <f t="shared" si="8"/>
        <v>Gwynedd.2016.Employment.Shopping</v>
      </c>
      <c r="B283" s="530" t="s">
        <v>219</v>
      </c>
      <c r="C283" s="530" t="str">
        <f t="shared" si="9"/>
        <v>2016.Employment.Shopping</v>
      </c>
      <c r="D283" s="530" t="s">
        <v>235</v>
      </c>
      <c r="E283" s="530" t="s">
        <v>20</v>
      </c>
      <c r="F283" s="530" t="s">
        <v>51</v>
      </c>
      <c r="G283" s="530" t="s">
        <v>51</v>
      </c>
      <c r="H283" s="530">
        <v>756.76862986130368</v>
      </c>
      <c r="I283" s="530">
        <v>1135.8775562769156</v>
      </c>
      <c r="J283" s="530">
        <v>3852.1390616114468</v>
      </c>
      <c r="K283" s="530">
        <v>3086.6768556642705</v>
      </c>
      <c r="L283" s="530">
        <v>3507.9121991580218</v>
      </c>
      <c r="M283" s="530">
        <v>4298.8523174011762</v>
      </c>
      <c r="N283" s="530">
        <v>4992.4381296921447</v>
      </c>
      <c r="O283" s="530">
        <v>5991.0030872423586</v>
      </c>
      <c r="P283" s="530">
        <v>3513.8819423234004</v>
      </c>
      <c r="Q283" s="530">
        <v>3190.0641711977969</v>
      </c>
      <c r="R283" s="530">
        <v>1739.4453063195515</v>
      </c>
      <c r="S283" s="530">
        <v>1395.1237582731135</v>
      </c>
      <c r="T283" s="530">
        <v>3121.6819179184586</v>
      </c>
      <c r="U283" s="530" t="s">
        <v>59</v>
      </c>
    </row>
    <row r="284" spans="1:21" ht="13.8" x14ac:dyDescent="0.3">
      <c r="A284" s="530" t="str">
        <f t="shared" si="8"/>
        <v>Gwynedd.2016.Employment.Transport</v>
      </c>
      <c r="B284" s="530" t="s">
        <v>219</v>
      </c>
      <c r="C284" s="530" t="str">
        <f t="shared" si="9"/>
        <v>2016.Employment.Transport</v>
      </c>
      <c r="D284" s="530" t="s">
        <v>235</v>
      </c>
      <c r="E284" s="530" t="s">
        <v>20</v>
      </c>
      <c r="F284" s="530" t="s">
        <v>52</v>
      </c>
      <c r="G284" s="530" t="s">
        <v>52</v>
      </c>
      <c r="H284" s="530">
        <v>124.40541403861566</v>
      </c>
      <c r="I284" s="530">
        <v>202.49657322428342</v>
      </c>
      <c r="J284" s="530">
        <v>747.34156206216528</v>
      </c>
      <c r="K284" s="530">
        <v>510.10184654639818</v>
      </c>
      <c r="L284" s="530">
        <v>601.4560888372099</v>
      </c>
      <c r="M284" s="530">
        <v>719.2931971199589</v>
      </c>
      <c r="N284" s="530">
        <v>885.71937786099556</v>
      </c>
      <c r="O284" s="530">
        <v>1045.9265379193744</v>
      </c>
      <c r="P284" s="530">
        <v>628.90038300998663</v>
      </c>
      <c r="Q284" s="530">
        <v>546.25555487897122</v>
      </c>
      <c r="R284" s="530">
        <v>349.11376369564266</v>
      </c>
      <c r="S284" s="530">
        <v>269.45434714243265</v>
      </c>
      <c r="T284" s="530">
        <v>552.53872052800295</v>
      </c>
      <c r="U284" s="530" t="s">
        <v>59</v>
      </c>
    </row>
    <row r="285" spans="1:21" ht="13.8" x14ac:dyDescent="0.3">
      <c r="A285" s="530" t="str">
        <f t="shared" si="8"/>
        <v>Gwynedd.2016.Visitor Days.Serviced Accommodation</v>
      </c>
      <c r="B285" s="530" t="s">
        <v>219</v>
      </c>
      <c r="C285" s="530" t="str">
        <f t="shared" si="9"/>
        <v>2016.Visitor Days.Serviced Accommodation</v>
      </c>
      <c r="D285" s="530" t="s">
        <v>235</v>
      </c>
      <c r="E285" s="530" t="s">
        <v>171</v>
      </c>
      <c r="F285" s="530" t="s">
        <v>43</v>
      </c>
      <c r="G285" s="530" t="s">
        <v>43</v>
      </c>
      <c r="H285" s="530">
        <v>26.48438442894625</v>
      </c>
      <c r="I285" s="530">
        <v>51.168222846511625</v>
      </c>
      <c r="J285" s="530">
        <v>71.827531185485725</v>
      </c>
      <c r="K285" s="530">
        <v>91.726771163856682</v>
      </c>
      <c r="L285" s="530">
        <v>110.31643156647453</v>
      </c>
      <c r="M285" s="530">
        <v>118.60033442365469</v>
      </c>
      <c r="N285" s="530">
        <v>142.48153350325293</v>
      </c>
      <c r="O285" s="530">
        <v>151.5251806039075</v>
      </c>
      <c r="P285" s="530">
        <v>120.86976861811237</v>
      </c>
      <c r="Q285" s="530">
        <v>94.808597698931777</v>
      </c>
      <c r="R285" s="530">
        <v>55.851644037828677</v>
      </c>
      <c r="S285" s="530">
        <v>48.932861818973002</v>
      </c>
      <c r="T285" s="530">
        <v>1084.5932618959357</v>
      </c>
      <c r="U285" s="530" t="s">
        <v>61</v>
      </c>
    </row>
    <row r="286" spans="1:21" ht="13.8" x14ac:dyDescent="0.3">
      <c r="A286" s="530" t="str">
        <f t="shared" si="8"/>
        <v>Gwynedd.2016.Visitor Days.Non-Serviced Accommodation</v>
      </c>
      <c r="B286" s="530" t="s">
        <v>219</v>
      </c>
      <c r="C286" s="530" t="str">
        <f t="shared" si="9"/>
        <v>2016.Visitor Days.Non-Serviced Accommodation</v>
      </c>
      <c r="D286" s="530" t="s">
        <v>235</v>
      </c>
      <c r="E286" s="530" t="s">
        <v>171</v>
      </c>
      <c r="F286" s="530" t="s">
        <v>48</v>
      </c>
      <c r="G286" s="530" t="s">
        <v>48</v>
      </c>
      <c r="H286" s="530">
        <v>359.01433314249363</v>
      </c>
      <c r="I286" s="530">
        <v>499.83371019671085</v>
      </c>
      <c r="J286" s="530">
        <v>1749.3851804186261</v>
      </c>
      <c r="K286" s="530">
        <v>1242.8231547775433</v>
      </c>
      <c r="L286" s="530">
        <v>1527.951383411566</v>
      </c>
      <c r="M286" s="530">
        <v>1705.9381994503742</v>
      </c>
      <c r="N286" s="530">
        <v>2269.2394416244915</v>
      </c>
      <c r="O286" s="530">
        <v>2574.6950322117054</v>
      </c>
      <c r="P286" s="530">
        <v>1652.6639222985029</v>
      </c>
      <c r="Q286" s="530">
        <v>1388.3798102809983</v>
      </c>
      <c r="R286" s="530">
        <v>929.91886514640373</v>
      </c>
      <c r="S286" s="530">
        <v>697.76660221871225</v>
      </c>
      <c r="T286" s="530">
        <v>16597.609635178127</v>
      </c>
      <c r="U286" s="530" t="s">
        <v>61</v>
      </c>
    </row>
    <row r="287" spans="1:21" ht="13.8" x14ac:dyDescent="0.3">
      <c r="A287" s="530" t="str">
        <f t="shared" si="8"/>
        <v>Gwynedd.2016.Visitor Days.SFR</v>
      </c>
      <c r="B287" s="530" t="s">
        <v>219</v>
      </c>
      <c r="C287" s="530" t="str">
        <f t="shared" si="9"/>
        <v>2016.Visitor Days.SFR</v>
      </c>
      <c r="D287" s="530" t="s">
        <v>235</v>
      </c>
      <c r="E287" s="530" t="s">
        <v>171</v>
      </c>
      <c r="F287" s="530" t="s">
        <v>18</v>
      </c>
      <c r="G287" s="530" t="s">
        <v>18</v>
      </c>
      <c r="H287" s="530">
        <v>62.828181818181811</v>
      </c>
      <c r="I287" s="530">
        <v>21.110269090909085</v>
      </c>
      <c r="J287" s="530">
        <v>24.014327272727275</v>
      </c>
      <c r="K287" s="530">
        <v>57.299301818181817</v>
      </c>
      <c r="L287" s="530">
        <v>36.859199999999994</v>
      </c>
      <c r="M287" s="530">
        <v>28.393311927272727</v>
      </c>
      <c r="N287" s="530">
        <v>46.073999999999998</v>
      </c>
      <c r="O287" s="530">
        <v>48.773657163636358</v>
      </c>
      <c r="P287" s="530">
        <v>25.122393010909089</v>
      </c>
      <c r="Q287" s="530">
        <v>25.097764363636362</v>
      </c>
      <c r="R287" s="530">
        <v>19.556318727272721</v>
      </c>
      <c r="S287" s="530">
        <v>56.629134545454548</v>
      </c>
      <c r="T287" s="530">
        <v>451.75785973818176</v>
      </c>
      <c r="U287" s="530" t="s">
        <v>61</v>
      </c>
    </row>
    <row r="288" spans="1:21" ht="13.8" x14ac:dyDescent="0.3">
      <c r="A288" s="530" t="str">
        <f t="shared" si="8"/>
        <v>Gwynedd.2016.Visitor Days.Day Visitor</v>
      </c>
      <c r="B288" s="530" t="s">
        <v>219</v>
      </c>
      <c r="C288" s="530" t="str">
        <f t="shared" si="9"/>
        <v>2016.Visitor Days.Day Visitor</v>
      </c>
      <c r="D288" s="530" t="s">
        <v>235</v>
      </c>
      <c r="E288" s="530" t="s">
        <v>171</v>
      </c>
      <c r="F288" s="530" t="s">
        <v>71</v>
      </c>
      <c r="G288" s="530" t="s">
        <v>71</v>
      </c>
      <c r="H288" s="530">
        <v>35.791836939993352</v>
      </c>
      <c r="I288" s="530">
        <v>93.683443492809303</v>
      </c>
      <c r="J288" s="530">
        <v>367.43860716973506</v>
      </c>
      <c r="K288" s="530">
        <v>348.88087147477415</v>
      </c>
      <c r="L288" s="530">
        <v>351.68191040583434</v>
      </c>
      <c r="M288" s="530">
        <v>541.76003321380256</v>
      </c>
      <c r="N288" s="530">
        <v>463.73275057632748</v>
      </c>
      <c r="O288" s="530">
        <v>636.78700047812231</v>
      </c>
      <c r="P288" s="530">
        <v>299.76698106075611</v>
      </c>
      <c r="Q288" s="530">
        <v>304.62768894206391</v>
      </c>
      <c r="R288" s="530">
        <v>90.77170280884593</v>
      </c>
      <c r="S288" s="530">
        <v>74.48813680903001</v>
      </c>
      <c r="T288" s="530">
        <v>3609.4109633720941</v>
      </c>
      <c r="U288" s="530" t="s">
        <v>61</v>
      </c>
    </row>
    <row r="289" spans="1:21" ht="13.8" x14ac:dyDescent="0.3">
      <c r="A289" s="530" t="str">
        <f t="shared" si="8"/>
        <v>Gwynedd.2016.Visitor Days.Total</v>
      </c>
      <c r="B289" s="530" t="s">
        <v>219</v>
      </c>
      <c r="C289" s="530" t="str">
        <f t="shared" si="9"/>
        <v>2016.Visitor Days.Total</v>
      </c>
      <c r="D289" s="530" t="s">
        <v>235</v>
      </c>
      <c r="E289" s="530" t="s">
        <v>171</v>
      </c>
      <c r="F289" s="530" t="s">
        <v>54</v>
      </c>
      <c r="G289" s="530" t="s">
        <v>54</v>
      </c>
      <c r="H289" s="530">
        <v>484.11873632961505</v>
      </c>
      <c r="I289" s="530">
        <v>665.79564562694088</v>
      </c>
      <c r="J289" s="530">
        <v>2212.6656460465742</v>
      </c>
      <c r="K289" s="530">
        <v>1740.7300992343562</v>
      </c>
      <c r="L289" s="530">
        <v>2026.8089253838748</v>
      </c>
      <c r="M289" s="530">
        <v>2394.691879015104</v>
      </c>
      <c r="N289" s="530">
        <v>2921.5277257040721</v>
      </c>
      <c r="O289" s="530">
        <v>3411.7808704573717</v>
      </c>
      <c r="P289" s="530">
        <v>2098.4230649882807</v>
      </c>
      <c r="Q289" s="530">
        <v>1812.9138612856304</v>
      </c>
      <c r="R289" s="530">
        <v>1096.0985307203509</v>
      </c>
      <c r="S289" s="530">
        <v>877.8167353921699</v>
      </c>
      <c r="T289" s="530">
        <v>21743.371720184343</v>
      </c>
      <c r="U289" s="530" t="s">
        <v>61</v>
      </c>
    </row>
    <row r="290" spans="1:21" ht="13.8" x14ac:dyDescent="0.3">
      <c r="A290" s="530" t="str">
        <f t="shared" si="8"/>
        <v>Gwynedd.2016.Visitor Numbers.Serviced Accommodation</v>
      </c>
      <c r="B290" s="530" t="s">
        <v>219</v>
      </c>
      <c r="C290" s="530" t="str">
        <f t="shared" si="9"/>
        <v>2016.Visitor Numbers.Serviced Accommodation</v>
      </c>
      <c r="D290" s="530" t="s">
        <v>235</v>
      </c>
      <c r="E290" s="530" t="s">
        <v>172</v>
      </c>
      <c r="F290" s="530" t="s">
        <v>43</v>
      </c>
      <c r="G290" s="530" t="s">
        <v>43</v>
      </c>
      <c r="H290" s="530">
        <v>16.995709960458786</v>
      </c>
      <c r="I290" s="530">
        <v>33.518367902231162</v>
      </c>
      <c r="J290" s="530">
        <v>35.159695855533556</v>
      </c>
      <c r="K290" s="530">
        <v>50.731704535475934</v>
      </c>
      <c r="L290" s="530">
        <v>59.039160486467608</v>
      </c>
      <c r="M290" s="530">
        <v>67.447738147919807</v>
      </c>
      <c r="N290" s="530">
        <v>84.312171460298231</v>
      </c>
      <c r="O290" s="530">
        <v>89.078434871974252</v>
      </c>
      <c r="P290" s="530">
        <v>62.496883652565302</v>
      </c>
      <c r="Q290" s="530">
        <v>54.412126679804203</v>
      </c>
      <c r="R290" s="530">
        <v>33.054160722407502</v>
      </c>
      <c r="S290" s="530">
        <v>28.853978519619481</v>
      </c>
      <c r="T290" s="530">
        <v>615.10013279475572</v>
      </c>
      <c r="U290" s="530" t="s">
        <v>61</v>
      </c>
    </row>
    <row r="291" spans="1:21" ht="13.8" x14ac:dyDescent="0.3">
      <c r="A291" s="530" t="str">
        <f t="shared" si="8"/>
        <v>Gwynedd.2016.Visitor Numbers.Non-Serviced Accommodation</v>
      </c>
      <c r="B291" s="530" t="s">
        <v>219</v>
      </c>
      <c r="C291" s="530" t="str">
        <f t="shared" si="9"/>
        <v>2016.Visitor Numbers.Non-Serviced Accommodation</v>
      </c>
      <c r="D291" s="530" t="s">
        <v>235</v>
      </c>
      <c r="E291" s="530" t="s">
        <v>172</v>
      </c>
      <c r="F291" s="530" t="s">
        <v>48</v>
      </c>
      <c r="G291" s="530" t="s">
        <v>48</v>
      </c>
      <c r="H291" s="530">
        <v>105.59245092426283</v>
      </c>
      <c r="I291" s="530">
        <v>124.95842754917771</v>
      </c>
      <c r="J291" s="530">
        <v>364.4552459205471</v>
      </c>
      <c r="K291" s="530">
        <v>194.19111793399114</v>
      </c>
      <c r="L291" s="530">
        <v>221.44222947993711</v>
      </c>
      <c r="M291" s="530">
        <v>243.70545706433916</v>
      </c>
      <c r="N291" s="530">
        <v>319.61118896119598</v>
      </c>
      <c r="O291" s="530">
        <v>338.77566213311911</v>
      </c>
      <c r="P291" s="530">
        <v>239.5165104780439</v>
      </c>
      <c r="Q291" s="530">
        <v>198.33997289728546</v>
      </c>
      <c r="R291" s="530">
        <v>206.64863669920081</v>
      </c>
      <c r="S291" s="530">
        <v>124.60117896762719</v>
      </c>
      <c r="T291" s="530">
        <v>2681.8380790087272</v>
      </c>
      <c r="U291" s="530" t="s">
        <v>61</v>
      </c>
    </row>
    <row r="292" spans="1:21" ht="13.8" x14ac:dyDescent="0.3">
      <c r="A292" s="530" t="str">
        <f t="shared" si="8"/>
        <v>Gwynedd.2016.Visitor Numbers.SFR</v>
      </c>
      <c r="B292" s="530" t="s">
        <v>219</v>
      </c>
      <c r="C292" s="530" t="str">
        <f t="shared" si="9"/>
        <v>2016.Visitor Numbers.SFR</v>
      </c>
      <c r="D292" s="530" t="s">
        <v>235</v>
      </c>
      <c r="E292" s="530" t="s">
        <v>172</v>
      </c>
      <c r="F292" s="530" t="s">
        <v>18</v>
      </c>
      <c r="G292" s="530" t="s">
        <v>18</v>
      </c>
      <c r="H292" s="530">
        <v>25.131272727272723</v>
      </c>
      <c r="I292" s="530">
        <v>10.052509090909087</v>
      </c>
      <c r="J292" s="530">
        <v>11.169454545454547</v>
      </c>
      <c r="K292" s="530">
        <v>21.221963636363636</v>
      </c>
      <c r="L292" s="530">
        <v>16.754181818181813</v>
      </c>
      <c r="M292" s="530">
        <v>13.520624727272727</v>
      </c>
      <c r="N292" s="530">
        <v>18.429600000000001</v>
      </c>
      <c r="O292" s="530">
        <v>18.759098909090905</v>
      </c>
      <c r="P292" s="530">
        <v>11.577139636363636</v>
      </c>
      <c r="Q292" s="530">
        <v>11.727927272727271</v>
      </c>
      <c r="R292" s="530">
        <v>9.6336545454545437</v>
      </c>
      <c r="S292" s="530">
        <v>21.780436363636365</v>
      </c>
      <c r="T292" s="530">
        <v>189.75786327272726</v>
      </c>
      <c r="U292" s="530" t="s">
        <v>61</v>
      </c>
    </row>
    <row r="293" spans="1:21" ht="13.8" x14ac:dyDescent="0.3">
      <c r="A293" s="530" t="str">
        <f t="shared" si="8"/>
        <v>Gwynedd.2016.Visitor Numbers.Day Visitor</v>
      </c>
      <c r="B293" s="530" t="s">
        <v>219</v>
      </c>
      <c r="C293" s="530" t="str">
        <f t="shared" si="9"/>
        <v>2016.Visitor Numbers.Day Visitor</v>
      </c>
      <c r="D293" s="530" t="s">
        <v>235</v>
      </c>
      <c r="E293" s="530" t="s">
        <v>172</v>
      </c>
      <c r="F293" s="530" t="s">
        <v>71</v>
      </c>
      <c r="G293" s="530" t="s">
        <v>71</v>
      </c>
      <c r="H293" s="530">
        <v>35.791836939993352</v>
      </c>
      <c r="I293" s="530">
        <v>93.683443492809303</v>
      </c>
      <c r="J293" s="530">
        <v>367.43860716973506</v>
      </c>
      <c r="K293" s="530">
        <v>348.88087147477415</v>
      </c>
      <c r="L293" s="530">
        <v>351.68191040583434</v>
      </c>
      <c r="M293" s="530">
        <v>541.76003321380256</v>
      </c>
      <c r="N293" s="530">
        <v>463.73275057632748</v>
      </c>
      <c r="O293" s="530">
        <v>636.78700047812231</v>
      </c>
      <c r="P293" s="530">
        <v>299.76698106075611</v>
      </c>
      <c r="Q293" s="530">
        <v>304.62768894206391</v>
      </c>
      <c r="R293" s="530">
        <v>90.77170280884593</v>
      </c>
      <c r="S293" s="530">
        <v>74.48813680903001</v>
      </c>
      <c r="T293" s="530">
        <v>3609.4109633720941</v>
      </c>
      <c r="U293" s="530" t="s">
        <v>61</v>
      </c>
    </row>
    <row r="294" spans="1:21" ht="13.8" x14ac:dyDescent="0.3">
      <c r="A294" s="530" t="str">
        <f t="shared" si="8"/>
        <v>Gwynedd.2016.Visitor Numbers.Total</v>
      </c>
      <c r="B294" s="530" t="s">
        <v>219</v>
      </c>
      <c r="C294" s="530" t="str">
        <f t="shared" si="9"/>
        <v>2016.Visitor Numbers.Total</v>
      </c>
      <c r="D294" s="530" t="s">
        <v>235</v>
      </c>
      <c r="E294" s="530" t="s">
        <v>172</v>
      </c>
      <c r="F294" s="530" t="s">
        <v>54</v>
      </c>
      <c r="G294" s="530" t="s">
        <v>54</v>
      </c>
      <c r="H294" s="530">
        <v>183.51127055198768</v>
      </c>
      <c r="I294" s="530">
        <v>262.21274803512728</v>
      </c>
      <c r="J294" s="530">
        <v>778.22300349127022</v>
      </c>
      <c r="K294" s="530">
        <v>615.02565758060484</v>
      </c>
      <c r="L294" s="530">
        <v>648.91748219042086</v>
      </c>
      <c r="M294" s="530">
        <v>866.43385315333421</v>
      </c>
      <c r="N294" s="530">
        <v>886.08571099782171</v>
      </c>
      <c r="O294" s="530">
        <v>1083.4001963923065</v>
      </c>
      <c r="P294" s="530">
        <v>613.35751482772889</v>
      </c>
      <c r="Q294" s="530">
        <v>569.10771579188076</v>
      </c>
      <c r="R294" s="530">
        <v>340.10815477590876</v>
      </c>
      <c r="S294" s="530">
        <v>249.72373065991306</v>
      </c>
      <c r="T294" s="530">
        <v>7096.1070384483037</v>
      </c>
      <c r="U294" s="530" t="s">
        <v>61</v>
      </c>
    </row>
    <row r="295" spans="1:21" ht="13.8" x14ac:dyDescent="0.3">
      <c r="A295" s="530" t="str">
        <f t="shared" si="8"/>
        <v>Gwynedd.2016.Vehicle Days.Serviced Accommodation</v>
      </c>
      <c r="B295" s="530" t="s">
        <v>219</v>
      </c>
      <c r="C295" s="530" t="str">
        <f t="shared" si="9"/>
        <v>2016.Vehicle Days.Serviced Accommodation</v>
      </c>
      <c r="D295" s="530" t="s">
        <v>235</v>
      </c>
      <c r="E295" s="530" t="s">
        <v>21</v>
      </c>
      <c r="F295" s="530" t="s">
        <v>43</v>
      </c>
      <c r="G295" s="530" t="s">
        <v>43</v>
      </c>
      <c r="H295" s="530">
        <v>6.7637137004300953</v>
      </c>
      <c r="I295" s="530">
        <v>17.49785128910451</v>
      </c>
      <c r="J295" s="530">
        <v>25.64503952408274</v>
      </c>
      <c r="K295" s="530">
        <v>23.716139112758956</v>
      </c>
      <c r="L295" s="530">
        <v>31.025424321307529</v>
      </c>
      <c r="M295" s="530">
        <v>32.719173171042925</v>
      </c>
      <c r="N295" s="530">
        <v>36.852481682351865</v>
      </c>
      <c r="O295" s="530">
        <v>39.19141869131964</v>
      </c>
      <c r="P295" s="530">
        <v>31.276008197577568</v>
      </c>
      <c r="Q295" s="530">
        <v>26.639504915557385</v>
      </c>
      <c r="R295" s="530">
        <v>15.666455341036167</v>
      </c>
      <c r="S295" s="530">
        <v>12.634555284722135</v>
      </c>
      <c r="T295" s="530">
        <v>299.62776523129156</v>
      </c>
      <c r="U295" s="530" t="s">
        <v>61</v>
      </c>
    </row>
    <row r="296" spans="1:21" ht="13.8" x14ac:dyDescent="0.3">
      <c r="A296" s="530" t="str">
        <f t="shared" si="8"/>
        <v>Gwynedd.2016.Vehicle Days.Non-Serviced Accommodation</v>
      </c>
      <c r="B296" s="530" t="s">
        <v>219</v>
      </c>
      <c r="C296" s="530" t="str">
        <f t="shared" si="9"/>
        <v>2016.Vehicle Days.Non-Serviced Accommodation</v>
      </c>
      <c r="D296" s="530" t="s">
        <v>235</v>
      </c>
      <c r="E296" s="530" t="s">
        <v>21</v>
      </c>
      <c r="F296" s="530" t="s">
        <v>48</v>
      </c>
      <c r="G296" s="530" t="s">
        <v>48</v>
      </c>
      <c r="H296" s="530">
        <v>90.351071672221408</v>
      </c>
      <c r="I296" s="530">
        <v>141.38831973022701</v>
      </c>
      <c r="J296" s="530">
        <v>491.52180131540604</v>
      </c>
      <c r="K296" s="530">
        <v>317.96802104032702</v>
      </c>
      <c r="L296" s="530">
        <v>403.8091242070102</v>
      </c>
      <c r="M296" s="530">
        <v>453.72252257691343</v>
      </c>
      <c r="N296" s="530">
        <v>590.35083272282668</v>
      </c>
      <c r="O296" s="530">
        <v>667.21687856078756</v>
      </c>
      <c r="P296" s="530">
        <v>439.21291481496917</v>
      </c>
      <c r="Q296" s="530">
        <v>363.27934547416982</v>
      </c>
      <c r="R296" s="530">
        <v>252.84746687459554</v>
      </c>
      <c r="S296" s="530">
        <v>181.6182489410009</v>
      </c>
      <c r="T296" s="530">
        <v>4393.2865479304555</v>
      </c>
      <c r="U296" s="530" t="s">
        <v>61</v>
      </c>
    </row>
    <row r="297" spans="1:21" ht="13.8" x14ac:dyDescent="0.3">
      <c r="A297" s="530" t="str">
        <f t="shared" si="8"/>
        <v>Gwynedd.2016.Vehicle Days.SFR</v>
      </c>
      <c r="B297" s="530" t="s">
        <v>219</v>
      </c>
      <c r="C297" s="530" t="str">
        <f t="shared" si="9"/>
        <v>2016.Vehicle Days.SFR</v>
      </c>
      <c r="D297" s="530" t="s">
        <v>235</v>
      </c>
      <c r="E297" s="530" t="s">
        <v>21</v>
      </c>
      <c r="F297" s="530" t="s">
        <v>18</v>
      </c>
      <c r="G297" s="530" t="s">
        <v>18</v>
      </c>
      <c r="H297" s="530">
        <v>19.686163636363634</v>
      </c>
      <c r="I297" s="530">
        <v>6.6145509818181791</v>
      </c>
      <c r="J297" s="530">
        <v>7.524489212121213</v>
      </c>
      <c r="K297" s="530">
        <v>17.953781236363636</v>
      </c>
      <c r="L297" s="530">
        <v>11.549215999999998</v>
      </c>
      <c r="M297" s="530">
        <v>8.8965710705454537</v>
      </c>
      <c r="N297" s="530">
        <v>14.436519999999998</v>
      </c>
      <c r="O297" s="530">
        <v>15.282412577939391</v>
      </c>
      <c r="P297" s="530">
        <v>7.8716831434181804</v>
      </c>
      <c r="Q297" s="530">
        <v>7.8639661672727259</v>
      </c>
      <c r="R297" s="530">
        <v>6.1276465345454518</v>
      </c>
      <c r="S297" s="530">
        <v>17.74379549090909</v>
      </c>
      <c r="T297" s="530">
        <v>141.55079605129694</v>
      </c>
      <c r="U297" s="530" t="s">
        <v>61</v>
      </c>
    </row>
    <row r="298" spans="1:21" ht="13.8" x14ac:dyDescent="0.3">
      <c r="A298" s="530" t="str">
        <f t="shared" si="8"/>
        <v>Gwynedd.2016.Vehicle Days.Day Visitor</v>
      </c>
      <c r="B298" s="530" t="s">
        <v>219</v>
      </c>
      <c r="C298" s="530" t="str">
        <f t="shared" si="9"/>
        <v>2016.Vehicle Days.Day Visitor</v>
      </c>
      <c r="D298" s="530" t="s">
        <v>235</v>
      </c>
      <c r="E298" s="530" t="s">
        <v>21</v>
      </c>
      <c r="F298" s="530" t="s">
        <v>71</v>
      </c>
      <c r="G298" s="530" t="s">
        <v>71</v>
      </c>
      <c r="H298" s="530">
        <v>7.8742041267985377</v>
      </c>
      <c r="I298" s="530">
        <v>23.554694363906339</v>
      </c>
      <c r="J298" s="530">
        <v>92.384564088390533</v>
      </c>
      <c r="K298" s="530">
        <v>76.753791724450309</v>
      </c>
      <c r="L298" s="530">
        <v>77.370020289283559</v>
      </c>
      <c r="M298" s="530">
        <v>136.21395120804181</v>
      </c>
      <c r="N298" s="530">
        <v>102.02120512679204</v>
      </c>
      <c r="O298" s="530">
        <v>140.0931401051869</v>
      </c>
      <c r="P298" s="530">
        <v>65.948735833366342</v>
      </c>
      <c r="Q298" s="530">
        <v>76.592104648290359</v>
      </c>
      <c r="R298" s="530">
        <v>22.822599563366975</v>
      </c>
      <c r="S298" s="530">
        <v>16.387390097986604</v>
      </c>
      <c r="T298" s="530">
        <v>838.01640117586021</v>
      </c>
      <c r="U298" s="530" t="s">
        <v>61</v>
      </c>
    </row>
    <row r="299" spans="1:21" ht="13.8" x14ac:dyDescent="0.3">
      <c r="A299" s="530" t="str">
        <f t="shared" si="8"/>
        <v>Gwynedd.2016.Vehicle Days.Total</v>
      </c>
      <c r="B299" s="530" t="s">
        <v>219</v>
      </c>
      <c r="C299" s="530" t="str">
        <f t="shared" si="9"/>
        <v>2016.Vehicle Days.Total</v>
      </c>
      <c r="D299" s="530" t="s">
        <v>235</v>
      </c>
      <c r="E299" s="530" t="s">
        <v>21</v>
      </c>
      <c r="F299" s="530" t="s">
        <v>54</v>
      </c>
      <c r="G299" s="530" t="s">
        <v>54</v>
      </c>
      <c r="H299" s="530">
        <v>124.67515313581367</v>
      </c>
      <c r="I299" s="530">
        <v>189.05541636505606</v>
      </c>
      <c r="J299" s="530">
        <v>617.07589414000063</v>
      </c>
      <c r="K299" s="530">
        <v>436.39173311389993</v>
      </c>
      <c r="L299" s="530">
        <v>523.75378481760129</v>
      </c>
      <c r="M299" s="530">
        <v>631.55221802654364</v>
      </c>
      <c r="N299" s="530">
        <v>743.66103953197057</v>
      </c>
      <c r="O299" s="530">
        <v>861.78384993523343</v>
      </c>
      <c r="P299" s="530">
        <v>544.30934198933119</v>
      </c>
      <c r="Q299" s="530">
        <v>474.37492120529032</v>
      </c>
      <c r="R299" s="530">
        <v>297.46416831354412</v>
      </c>
      <c r="S299" s="530">
        <v>228.38398981461873</v>
      </c>
      <c r="T299" s="530">
        <v>5672.4815103889032</v>
      </c>
      <c r="U299" s="530" t="s">
        <v>61</v>
      </c>
    </row>
    <row r="300" spans="1:21" ht="13.8" x14ac:dyDescent="0.3">
      <c r="A300" s="530" t="str">
        <f t="shared" si="8"/>
        <v>Gwynedd.2016.Vehicle Numbers.Serviced Accommodation</v>
      </c>
      <c r="B300" s="530" t="s">
        <v>219</v>
      </c>
      <c r="C300" s="530" t="str">
        <f t="shared" si="9"/>
        <v>2016.Vehicle Numbers.Serviced Accommodation</v>
      </c>
      <c r="D300" s="530" t="s">
        <v>235</v>
      </c>
      <c r="E300" s="530" t="s">
        <v>22</v>
      </c>
      <c r="F300" s="530" t="s">
        <v>43</v>
      </c>
      <c r="G300" s="530" t="s">
        <v>43</v>
      </c>
      <c r="H300" s="530">
        <v>4.321147904290271</v>
      </c>
      <c r="I300" s="530">
        <v>11.447737362172431</v>
      </c>
      <c r="J300" s="530">
        <v>12.555167764303526</v>
      </c>
      <c r="K300" s="530">
        <v>13.116453518199418</v>
      </c>
      <c r="L300" s="530">
        <v>16.579012609067185</v>
      </c>
      <c r="M300" s="530">
        <v>18.601076641304875</v>
      </c>
      <c r="N300" s="530">
        <v>21.814099563847599</v>
      </c>
      <c r="O300" s="530">
        <v>23.052430821609981</v>
      </c>
      <c r="P300" s="530">
        <v>16.174123928101153</v>
      </c>
      <c r="Q300" s="530">
        <v>15.314014869727671</v>
      </c>
      <c r="R300" s="530">
        <v>9.1989425977759502</v>
      </c>
      <c r="S300" s="530">
        <v>7.4531517549839297</v>
      </c>
      <c r="T300" s="530">
        <v>169.62735933538403</v>
      </c>
      <c r="U300" s="530" t="s">
        <v>61</v>
      </c>
    </row>
    <row r="301" spans="1:21" ht="13.8" x14ac:dyDescent="0.3">
      <c r="A301" s="530" t="str">
        <f t="shared" si="8"/>
        <v>Gwynedd.2016.Vehicle Numbers.Non-Serviced Accommodation</v>
      </c>
      <c r="B301" s="530" t="s">
        <v>219</v>
      </c>
      <c r="C301" s="530" t="str">
        <f t="shared" si="9"/>
        <v>2016.Vehicle Numbers.Non-Serviced Accommodation</v>
      </c>
      <c r="D301" s="530" t="s">
        <v>235</v>
      </c>
      <c r="E301" s="530" t="s">
        <v>22</v>
      </c>
      <c r="F301" s="530" t="s">
        <v>48</v>
      </c>
      <c r="G301" s="530" t="s">
        <v>48</v>
      </c>
      <c r="H301" s="530">
        <v>26.573844609476886</v>
      </c>
      <c r="I301" s="530">
        <v>35.347079932556753</v>
      </c>
      <c r="J301" s="530">
        <v>102.40037527404293</v>
      </c>
      <c r="K301" s="530">
        <v>49.682503287551093</v>
      </c>
      <c r="L301" s="530">
        <v>58.523061479276841</v>
      </c>
      <c r="M301" s="530">
        <v>64.817503225273342</v>
      </c>
      <c r="N301" s="530">
        <v>83.148004608848822</v>
      </c>
      <c r="O301" s="530">
        <v>87.791694547472048</v>
      </c>
      <c r="P301" s="530">
        <v>63.654045625357853</v>
      </c>
      <c r="Q301" s="530">
        <v>51.897049353452829</v>
      </c>
      <c r="R301" s="530">
        <v>56.188325972132347</v>
      </c>
      <c r="S301" s="530">
        <v>32.431830168035873</v>
      </c>
      <c r="T301" s="530">
        <v>712.45531808347766</v>
      </c>
      <c r="U301" s="530" t="s">
        <v>61</v>
      </c>
    </row>
    <row r="302" spans="1:21" ht="13.8" x14ac:dyDescent="0.3">
      <c r="A302" s="530" t="str">
        <f t="shared" si="8"/>
        <v>Gwynedd.2016.Vehicle Numbers.SFR</v>
      </c>
      <c r="B302" s="530" t="s">
        <v>219</v>
      </c>
      <c r="C302" s="530" t="str">
        <f t="shared" si="9"/>
        <v>2016.Vehicle Numbers.SFR</v>
      </c>
      <c r="D302" s="530" t="s">
        <v>235</v>
      </c>
      <c r="E302" s="530" t="s">
        <v>22</v>
      </c>
      <c r="F302" s="530" t="s">
        <v>18</v>
      </c>
      <c r="G302" s="530" t="s">
        <v>18</v>
      </c>
      <c r="H302" s="530">
        <v>7.8744654545454535</v>
      </c>
      <c r="I302" s="530">
        <v>3.1497861818181807</v>
      </c>
      <c r="J302" s="530">
        <v>3.4997624242424248</v>
      </c>
      <c r="K302" s="530">
        <v>6.6495486060606055</v>
      </c>
      <c r="L302" s="530">
        <v>5.2496436363636345</v>
      </c>
      <c r="M302" s="530">
        <v>4.2364624145454544</v>
      </c>
      <c r="N302" s="530">
        <v>5.7746079999999997</v>
      </c>
      <c r="O302" s="530">
        <v>5.8778509915151496</v>
      </c>
      <c r="P302" s="530">
        <v>3.6275037527272724</v>
      </c>
      <c r="Q302" s="530">
        <v>3.6747505454545446</v>
      </c>
      <c r="R302" s="530">
        <v>3.0185450909090901</v>
      </c>
      <c r="S302" s="530">
        <v>6.8245367272727275</v>
      </c>
      <c r="T302" s="530">
        <v>59.457463825454539</v>
      </c>
      <c r="U302" s="530" t="s">
        <v>61</v>
      </c>
    </row>
    <row r="303" spans="1:21" ht="13.8" x14ac:dyDescent="0.3">
      <c r="A303" s="530" t="str">
        <f t="shared" si="8"/>
        <v>Gwynedd.2016.Vehicle Numbers.Day Visitor</v>
      </c>
      <c r="B303" s="530" t="s">
        <v>219</v>
      </c>
      <c r="C303" s="530" t="str">
        <f t="shared" si="9"/>
        <v>2016.Vehicle Numbers.Day Visitor</v>
      </c>
      <c r="D303" s="530" t="s">
        <v>235</v>
      </c>
      <c r="E303" s="530" t="s">
        <v>22</v>
      </c>
      <c r="F303" s="530" t="s">
        <v>71</v>
      </c>
      <c r="G303" s="530" t="s">
        <v>71</v>
      </c>
      <c r="H303" s="530">
        <v>7.8742041267985377</v>
      </c>
      <c r="I303" s="530">
        <v>23.554694363906339</v>
      </c>
      <c r="J303" s="530">
        <v>92.384564088390533</v>
      </c>
      <c r="K303" s="530">
        <v>76.753791724450309</v>
      </c>
      <c r="L303" s="530">
        <v>77.370020289283559</v>
      </c>
      <c r="M303" s="530">
        <v>136.21395120804181</v>
      </c>
      <c r="N303" s="530">
        <v>102.02120512679204</v>
      </c>
      <c r="O303" s="530">
        <v>140.0931401051869</v>
      </c>
      <c r="P303" s="530">
        <v>65.948735833366342</v>
      </c>
      <c r="Q303" s="530">
        <v>76.592104648290359</v>
      </c>
      <c r="R303" s="530">
        <v>22.822599563366975</v>
      </c>
      <c r="S303" s="530">
        <v>16.387390097986604</v>
      </c>
      <c r="T303" s="530">
        <v>838.01640117586021</v>
      </c>
      <c r="U303" s="530" t="s">
        <v>61</v>
      </c>
    </row>
    <row r="304" spans="1:21" ht="13.8" x14ac:dyDescent="0.3">
      <c r="A304" s="530" t="str">
        <f t="shared" si="8"/>
        <v>Gwynedd.2016.Vehicle Numbers.Total</v>
      </c>
      <c r="B304" s="530" t="s">
        <v>219</v>
      </c>
      <c r="C304" s="530" t="str">
        <f t="shared" si="9"/>
        <v>2016.Vehicle Numbers.Total</v>
      </c>
      <c r="D304" s="530" t="s">
        <v>235</v>
      </c>
      <c r="E304" s="530" t="s">
        <v>22</v>
      </c>
      <c r="F304" s="530" t="s">
        <v>54</v>
      </c>
      <c r="G304" s="530" t="s">
        <v>54</v>
      </c>
      <c r="H304" s="530">
        <v>46.643662095111146</v>
      </c>
      <c r="I304" s="530">
        <v>73.499297840453707</v>
      </c>
      <c r="J304" s="530">
        <v>210.83986955097942</v>
      </c>
      <c r="K304" s="530">
        <v>146.20229713626142</v>
      </c>
      <c r="L304" s="530">
        <v>157.72173801399123</v>
      </c>
      <c r="M304" s="530">
        <v>223.86899348916546</v>
      </c>
      <c r="N304" s="530">
        <v>212.75791729948847</v>
      </c>
      <c r="O304" s="530">
        <v>256.81511646578406</v>
      </c>
      <c r="P304" s="530">
        <v>149.40440913955263</v>
      </c>
      <c r="Q304" s="530">
        <v>147.4779194169254</v>
      </c>
      <c r="R304" s="530">
        <v>91.228413224184365</v>
      </c>
      <c r="S304" s="530">
        <v>63.096908748279134</v>
      </c>
      <c r="T304" s="530">
        <v>1779.5565424201764</v>
      </c>
      <c r="U304" s="530" t="s">
        <v>61</v>
      </c>
    </row>
    <row r="305" spans="1:21" ht="13.8" x14ac:dyDescent="0.3">
      <c r="A305" s="530" t="str">
        <f t="shared" si="8"/>
        <v>Gwynedd.2016.Accommodation.Serviced Accommodation</v>
      </c>
      <c r="B305" s="530" t="s">
        <v>219</v>
      </c>
      <c r="C305" s="530" t="str">
        <f t="shared" si="9"/>
        <v>2016.Accommodation.Serviced Accommodation</v>
      </c>
      <c r="D305" s="530" t="s">
        <v>235</v>
      </c>
      <c r="E305" s="530" t="s">
        <v>23</v>
      </c>
      <c r="F305" s="530" t="s">
        <v>43</v>
      </c>
      <c r="G305" s="530" t="s">
        <v>43</v>
      </c>
      <c r="H305" s="530">
        <v>5534</v>
      </c>
      <c r="I305" s="530">
        <v>5706</v>
      </c>
      <c r="J305" s="530">
        <v>6056</v>
      </c>
      <c r="K305" s="530">
        <v>6178</v>
      </c>
      <c r="L305" s="530">
        <v>6185</v>
      </c>
      <c r="M305" s="530">
        <v>6185</v>
      </c>
      <c r="N305" s="530">
        <v>6185</v>
      </c>
      <c r="O305" s="530">
        <v>6185</v>
      </c>
      <c r="P305" s="530">
        <v>6181</v>
      </c>
      <c r="Q305" s="530">
        <v>6145</v>
      </c>
      <c r="R305" s="530">
        <v>5846</v>
      </c>
      <c r="S305" s="530">
        <v>5742</v>
      </c>
      <c r="T305" s="530">
        <v>6185</v>
      </c>
      <c r="U305" s="530" t="s">
        <v>58</v>
      </c>
    </row>
    <row r="306" spans="1:21" ht="13.8" x14ac:dyDescent="0.3">
      <c r="A306" s="530" t="str">
        <f t="shared" si="8"/>
        <v>Gwynedd.2016.Accommodation.Non-Serviced Accommodation</v>
      </c>
      <c r="B306" s="530" t="s">
        <v>219</v>
      </c>
      <c r="C306" s="530" t="str">
        <f t="shared" si="9"/>
        <v>2016.Accommodation.Non-Serviced Accommodation</v>
      </c>
      <c r="D306" s="530" t="s">
        <v>235</v>
      </c>
      <c r="E306" s="530" t="s">
        <v>23</v>
      </c>
      <c r="F306" s="530" t="s">
        <v>48</v>
      </c>
      <c r="G306" s="530" t="s">
        <v>48</v>
      </c>
      <c r="H306" s="530">
        <v>44912</v>
      </c>
      <c r="I306" s="530">
        <v>45290</v>
      </c>
      <c r="J306" s="530">
        <v>87580</v>
      </c>
      <c r="K306" s="530">
        <v>97953</v>
      </c>
      <c r="L306" s="530">
        <v>98095</v>
      </c>
      <c r="M306" s="530">
        <v>98107</v>
      </c>
      <c r="N306" s="530">
        <v>98107</v>
      </c>
      <c r="O306" s="530">
        <v>98107</v>
      </c>
      <c r="P306" s="530">
        <v>98067</v>
      </c>
      <c r="Q306" s="530">
        <v>96493</v>
      </c>
      <c r="R306" s="530">
        <v>63897</v>
      </c>
      <c r="S306" s="530">
        <v>55691</v>
      </c>
      <c r="T306" s="530">
        <v>98107</v>
      </c>
      <c r="U306" s="530" t="s">
        <v>58</v>
      </c>
    </row>
    <row r="307" spans="1:21" ht="13.8" x14ac:dyDescent="0.3">
      <c r="A307" s="530" t="str">
        <f t="shared" si="8"/>
        <v>Gwynedd.2016.Accommodation.Total</v>
      </c>
      <c r="B307" s="530" t="s">
        <v>219</v>
      </c>
      <c r="C307" s="530" t="str">
        <f t="shared" si="9"/>
        <v>2016.Accommodation.Total</v>
      </c>
      <c r="D307" s="530" t="s">
        <v>235</v>
      </c>
      <c r="E307" s="530" t="s">
        <v>23</v>
      </c>
      <c r="F307" s="530" t="s">
        <v>54</v>
      </c>
      <c r="G307" s="530" t="s">
        <v>54</v>
      </c>
      <c r="H307" s="530">
        <v>50446</v>
      </c>
      <c r="I307" s="530">
        <v>50996</v>
      </c>
      <c r="J307" s="530">
        <v>93636</v>
      </c>
      <c r="K307" s="530">
        <v>104131</v>
      </c>
      <c r="L307" s="530">
        <v>104280</v>
      </c>
      <c r="M307" s="530">
        <v>104292</v>
      </c>
      <c r="N307" s="530">
        <v>104292</v>
      </c>
      <c r="O307" s="530">
        <v>104292</v>
      </c>
      <c r="P307" s="530">
        <v>104248</v>
      </c>
      <c r="Q307" s="530">
        <v>102638</v>
      </c>
      <c r="R307" s="530">
        <v>69743</v>
      </c>
      <c r="S307" s="530">
        <v>61433</v>
      </c>
      <c r="T307" s="530">
        <v>104292</v>
      </c>
      <c r="U307" s="530" t="s">
        <v>58</v>
      </c>
    </row>
    <row r="308" spans="1:21" ht="13.8" x14ac:dyDescent="0.3">
      <c r="A308" s="530" t="str">
        <f t="shared" si="8"/>
        <v>Gwynedd.2016.Economic Impact.Total</v>
      </c>
      <c r="B308" s="530" t="s">
        <v>219</v>
      </c>
      <c r="C308" s="530" t="str">
        <f t="shared" si="9"/>
        <v>2016.Economic Impact.Total</v>
      </c>
      <c r="D308" s="530" t="s">
        <v>235</v>
      </c>
      <c r="E308" s="530" t="s">
        <v>17</v>
      </c>
      <c r="F308" s="530" t="s">
        <v>54</v>
      </c>
      <c r="G308" s="530" t="s">
        <v>54</v>
      </c>
      <c r="H308" s="530">
        <v>20151.090276875831</v>
      </c>
      <c r="I308" s="530">
        <v>31282.788249430232</v>
      </c>
      <c r="J308" s="530">
        <v>102064.71295320758</v>
      </c>
      <c r="K308" s="530">
        <v>75816.180135633098</v>
      </c>
      <c r="L308" s="530">
        <v>87965.590795624041</v>
      </c>
      <c r="M308" s="530">
        <v>106086.63870891432</v>
      </c>
      <c r="N308" s="530">
        <v>140663.36701796087</v>
      </c>
      <c r="O308" s="530">
        <v>166659.47041867679</v>
      </c>
      <c r="P308" s="530">
        <v>105617.24772286476</v>
      </c>
      <c r="Q308" s="530">
        <v>80822.723718568916</v>
      </c>
      <c r="R308" s="530">
        <v>50037.19158088007</v>
      </c>
      <c r="S308" s="530">
        <v>40307.998738353308</v>
      </c>
      <c r="T308" s="530">
        <v>1007475.0003169897</v>
      </c>
      <c r="U308" s="530" t="s">
        <v>57</v>
      </c>
    </row>
    <row r="309" spans="1:21" ht="13.8" x14ac:dyDescent="0.3">
      <c r="A309" s="530" t="str">
        <f t="shared" si="8"/>
        <v>Gwynedd.2017.Economic Impact.Indirect Expenditure</v>
      </c>
      <c r="B309" s="530" t="s">
        <v>219</v>
      </c>
      <c r="C309" s="530" t="str">
        <f t="shared" si="9"/>
        <v>2017.Economic Impact.Indirect Expenditure</v>
      </c>
      <c r="D309" s="530" t="s">
        <v>236</v>
      </c>
      <c r="E309" s="530" t="s">
        <v>17</v>
      </c>
      <c r="F309" s="530" t="s">
        <v>45</v>
      </c>
      <c r="G309" s="530" t="s">
        <v>45</v>
      </c>
      <c r="H309" s="530">
        <v>7096.3177649985801</v>
      </c>
      <c r="I309" s="530">
        <v>10157.533204035984</v>
      </c>
      <c r="J309" s="530">
        <v>23724.025548726771</v>
      </c>
      <c r="K309" s="530">
        <v>24580.346893845024</v>
      </c>
      <c r="L309" s="530">
        <v>24146.284145892158</v>
      </c>
      <c r="M309" s="530">
        <v>31110.338272116824</v>
      </c>
      <c r="N309" s="530">
        <v>36722.463501369333</v>
      </c>
      <c r="O309" s="530">
        <v>44303.665669646296</v>
      </c>
      <c r="P309" s="530">
        <v>29293.328828820064</v>
      </c>
      <c r="Q309" s="530">
        <v>22017.470236272165</v>
      </c>
      <c r="R309" s="530">
        <v>13446.374844772869</v>
      </c>
      <c r="S309" s="530">
        <v>11241.445600115692</v>
      </c>
      <c r="T309" s="530">
        <v>277839.59451061173</v>
      </c>
      <c r="U309" s="530" t="s">
        <v>57</v>
      </c>
    </row>
    <row r="310" spans="1:21" ht="13.8" x14ac:dyDescent="0.3">
      <c r="A310" s="530" t="str">
        <f t="shared" si="8"/>
        <v>Gwynedd.2017.Economic Impact.Direct Revenue</v>
      </c>
      <c r="B310" s="530" t="s">
        <v>219</v>
      </c>
      <c r="C310" s="530" t="str">
        <f t="shared" si="9"/>
        <v>2017.Economic Impact.Direct Revenue</v>
      </c>
      <c r="D310" s="530" t="s">
        <v>236</v>
      </c>
      <c r="E310" s="530" t="s">
        <v>17</v>
      </c>
      <c r="F310" s="530" t="s">
        <v>46</v>
      </c>
      <c r="G310" s="530" t="s">
        <v>46</v>
      </c>
      <c r="H310" s="530">
        <v>16299.773377752314</v>
      </c>
      <c r="I310" s="530">
        <v>23753.38407045748</v>
      </c>
      <c r="J310" s="530">
        <v>58111.324810173479</v>
      </c>
      <c r="K310" s="530">
        <v>59049.456340917946</v>
      </c>
      <c r="L310" s="530">
        <v>58770.872301880954</v>
      </c>
      <c r="M310" s="530">
        <v>75257.095154407754</v>
      </c>
      <c r="N310" s="530">
        <v>88670.03102452145</v>
      </c>
      <c r="O310" s="530">
        <v>106609.92739060125</v>
      </c>
      <c r="P310" s="530">
        <v>70025.022695410313</v>
      </c>
      <c r="Q310" s="530">
        <v>52540.575057693139</v>
      </c>
      <c r="R310" s="530">
        <v>32176.115070985914</v>
      </c>
      <c r="S310" s="530">
        <v>26746.741382608536</v>
      </c>
      <c r="T310" s="530">
        <v>668010.31867741048</v>
      </c>
      <c r="U310" s="530" t="s">
        <v>57</v>
      </c>
    </row>
    <row r="311" spans="1:21" ht="13.8" x14ac:dyDescent="0.3">
      <c r="A311" s="530" t="str">
        <f t="shared" si="8"/>
        <v>Gwynedd.2017.Economic Impact.VAT</v>
      </c>
      <c r="B311" s="530" t="s">
        <v>219</v>
      </c>
      <c r="C311" s="530" t="str">
        <f t="shared" si="9"/>
        <v>2017.Economic Impact.VAT</v>
      </c>
      <c r="D311" s="530" t="s">
        <v>236</v>
      </c>
      <c r="E311" s="530" t="s">
        <v>17</v>
      </c>
      <c r="F311" s="530" t="s">
        <v>47</v>
      </c>
      <c r="G311" s="530" t="s">
        <v>47</v>
      </c>
      <c r="H311" s="530">
        <v>3259.9546755504625</v>
      </c>
      <c r="I311" s="530">
        <v>4750.6768140914965</v>
      </c>
      <c r="J311" s="530">
        <v>11622.264962034697</v>
      </c>
      <c r="K311" s="530">
        <v>11809.89126818359</v>
      </c>
      <c r="L311" s="530">
        <v>11754.174460376191</v>
      </c>
      <c r="M311" s="530">
        <v>15051.41903088155</v>
      </c>
      <c r="N311" s="530">
        <v>17734.00620490429</v>
      </c>
      <c r="O311" s="530">
        <v>21321.985478120252</v>
      </c>
      <c r="P311" s="530">
        <v>14005.004539082065</v>
      </c>
      <c r="Q311" s="530">
        <v>10508.11501153863</v>
      </c>
      <c r="R311" s="530">
        <v>6435.2230141971831</v>
      </c>
      <c r="S311" s="530">
        <v>5349.3482765217086</v>
      </c>
      <c r="T311" s="530">
        <v>133602.06373548211</v>
      </c>
      <c r="U311" s="530" t="s">
        <v>57</v>
      </c>
    </row>
    <row r="312" spans="1:21" ht="13.8" x14ac:dyDescent="0.3">
      <c r="A312" s="530" t="str">
        <f t="shared" si="8"/>
        <v>Gwynedd.2017.Economic Impact.Serviced Accommodation</v>
      </c>
      <c r="B312" s="530" t="s">
        <v>219</v>
      </c>
      <c r="C312" s="530" t="str">
        <f t="shared" si="9"/>
        <v>2017.Economic Impact.Serviced Accommodation</v>
      </c>
      <c r="D312" s="530" t="s">
        <v>236</v>
      </c>
      <c r="E312" s="530" t="s">
        <v>17</v>
      </c>
      <c r="F312" s="530" t="s">
        <v>43</v>
      </c>
      <c r="G312" s="530" t="s">
        <v>43</v>
      </c>
      <c r="H312" s="530">
        <v>2200.3340942433961</v>
      </c>
      <c r="I312" s="530">
        <v>4128.405849019382</v>
      </c>
      <c r="J312" s="530">
        <v>6067.4723301122631</v>
      </c>
      <c r="K312" s="530">
        <v>8494.4658591262614</v>
      </c>
      <c r="L312" s="530">
        <v>9194.8296028061013</v>
      </c>
      <c r="M312" s="530">
        <v>9964.9771085687753</v>
      </c>
      <c r="N312" s="530">
        <v>15976.706604567324</v>
      </c>
      <c r="O312" s="530">
        <v>17217.314616073756</v>
      </c>
      <c r="P312" s="530">
        <v>14185.477422434651</v>
      </c>
      <c r="Q312" s="530">
        <v>7915.8554372394428</v>
      </c>
      <c r="R312" s="530">
        <v>3697.8900031536177</v>
      </c>
      <c r="S312" s="530">
        <v>4508.370437459218</v>
      </c>
      <c r="T312" s="530">
        <v>103552.09936480418</v>
      </c>
      <c r="U312" s="530" t="s">
        <v>57</v>
      </c>
    </row>
    <row r="313" spans="1:21" ht="13.8" x14ac:dyDescent="0.3">
      <c r="A313" s="530" t="str">
        <f t="shared" si="8"/>
        <v>Gwynedd.2017.Economic Impact.Non-Serviced Accommodation</v>
      </c>
      <c r="B313" s="530" t="s">
        <v>219</v>
      </c>
      <c r="C313" s="530" t="str">
        <f t="shared" si="9"/>
        <v>2017.Economic Impact.Non-Serviced Accommodation</v>
      </c>
      <c r="D313" s="530" t="s">
        <v>236</v>
      </c>
      <c r="E313" s="530" t="s">
        <v>17</v>
      </c>
      <c r="F313" s="530" t="s">
        <v>48</v>
      </c>
      <c r="G313" s="530" t="s">
        <v>48</v>
      </c>
      <c r="H313" s="530">
        <v>20369.78109351308</v>
      </c>
      <c r="I313" s="530">
        <v>28990.93835968752</v>
      </c>
      <c r="J313" s="530">
        <v>74427.086780809361</v>
      </c>
      <c r="K313" s="530">
        <v>60952.123618051875</v>
      </c>
      <c r="L313" s="530">
        <v>65607.132386704965</v>
      </c>
      <c r="M313" s="530">
        <v>84824.538536505584</v>
      </c>
      <c r="N313" s="530">
        <v>103352.46843554666</v>
      </c>
      <c r="O313" s="530">
        <v>122983.54889691924</v>
      </c>
      <c r="P313" s="530">
        <v>84946.469537640194</v>
      </c>
      <c r="Q313" s="530">
        <v>64921.81436040024</v>
      </c>
      <c r="R313" s="530">
        <v>43947.941056918731</v>
      </c>
      <c r="S313" s="530">
        <v>34171.447085502237</v>
      </c>
      <c r="T313" s="530">
        <v>789495.29014819965</v>
      </c>
      <c r="U313" s="530" t="s">
        <v>57</v>
      </c>
    </row>
    <row r="314" spans="1:21" ht="13.8" x14ac:dyDescent="0.3">
      <c r="A314" s="530" t="str">
        <f t="shared" si="8"/>
        <v>Gwynedd.2017.Economic Impact.SFR</v>
      </c>
      <c r="B314" s="530" t="s">
        <v>219</v>
      </c>
      <c r="C314" s="530" t="str">
        <f t="shared" si="9"/>
        <v>2017.Economic Impact.SFR</v>
      </c>
      <c r="D314" s="530" t="s">
        <v>236</v>
      </c>
      <c r="E314" s="530" t="s">
        <v>17</v>
      </c>
      <c r="F314" s="530" t="s">
        <v>18</v>
      </c>
      <c r="G314" s="530" t="s">
        <v>18</v>
      </c>
      <c r="H314" s="530">
        <v>2078.5413730334653</v>
      </c>
      <c r="I314" s="530">
        <v>698.38990133924403</v>
      </c>
      <c r="J314" s="530">
        <v>794.46470258167994</v>
      </c>
      <c r="K314" s="530">
        <v>1895.6297322065197</v>
      </c>
      <c r="L314" s="530">
        <v>1219.4109388462994</v>
      </c>
      <c r="M314" s="530">
        <v>939.33441730128345</v>
      </c>
      <c r="N314" s="530">
        <v>1524.2636735578742</v>
      </c>
      <c r="O314" s="530">
        <v>1613.576286866708</v>
      </c>
      <c r="P314" s="530">
        <v>831.12278203266396</v>
      </c>
      <c r="Q314" s="530">
        <v>830.30799381443455</v>
      </c>
      <c r="R314" s="530">
        <v>646.98064471288308</v>
      </c>
      <c r="S314" s="530">
        <v>1873.4586242274963</v>
      </c>
      <c r="T314" s="530">
        <v>14945.481070520553</v>
      </c>
      <c r="U314" s="530" t="s">
        <v>57</v>
      </c>
    </row>
    <row r="315" spans="1:21" ht="13.8" x14ac:dyDescent="0.3">
      <c r="A315" s="530" t="str">
        <f t="shared" si="8"/>
        <v>Gwynedd.2017.Economic Impact.Day Visitor</v>
      </c>
      <c r="B315" s="530" t="s">
        <v>219</v>
      </c>
      <c r="C315" s="530" t="str">
        <f t="shared" si="9"/>
        <v>2017.Economic Impact.Day Visitor</v>
      </c>
      <c r="D315" s="530" t="s">
        <v>236</v>
      </c>
      <c r="E315" s="530" t="s">
        <v>17</v>
      </c>
      <c r="F315" s="530" t="s">
        <v>71</v>
      </c>
      <c r="G315" s="530" t="s">
        <v>71</v>
      </c>
      <c r="H315" s="530">
        <v>2007.3892575114105</v>
      </c>
      <c r="I315" s="530">
        <v>4843.8599785388078</v>
      </c>
      <c r="J315" s="530">
        <v>12168.591507431644</v>
      </c>
      <c r="K315" s="530">
        <v>24097.475293561918</v>
      </c>
      <c r="L315" s="530">
        <v>18649.957979791947</v>
      </c>
      <c r="M315" s="530">
        <v>25690.002395030489</v>
      </c>
      <c r="N315" s="530">
        <v>22273.062017123211</v>
      </c>
      <c r="O315" s="530">
        <v>30421.138738508111</v>
      </c>
      <c r="P315" s="530">
        <v>13360.286321204934</v>
      </c>
      <c r="Q315" s="530">
        <v>11398.182514049822</v>
      </c>
      <c r="R315" s="530">
        <v>3764.9012251707236</v>
      </c>
      <c r="S315" s="530">
        <v>2784.2591120569846</v>
      </c>
      <c r="T315" s="530">
        <v>171459.10633998</v>
      </c>
      <c r="U315" s="530" t="s">
        <v>57</v>
      </c>
    </row>
    <row r="316" spans="1:21" ht="13.8" x14ac:dyDescent="0.3">
      <c r="A316" s="530" t="str">
        <f t="shared" si="8"/>
        <v>Gwynedd.2017.Economic Impact.Accommodation</v>
      </c>
      <c r="B316" s="530" t="s">
        <v>219</v>
      </c>
      <c r="C316" s="530" t="str">
        <f t="shared" si="9"/>
        <v>2017.Economic Impact.Accommodation</v>
      </c>
      <c r="D316" s="530" t="s">
        <v>236</v>
      </c>
      <c r="E316" s="530" t="s">
        <v>17</v>
      </c>
      <c r="F316" s="530" t="s">
        <v>23</v>
      </c>
      <c r="G316" s="530" t="s">
        <v>23</v>
      </c>
      <c r="H316" s="530">
        <v>3562.4717728651167</v>
      </c>
      <c r="I316" s="530">
        <v>5364.5576010975119</v>
      </c>
      <c r="J316" s="530">
        <v>9628.0786848146581</v>
      </c>
      <c r="K316" s="530">
        <v>9323.0928675217965</v>
      </c>
      <c r="L316" s="530">
        <v>9119.319670404755</v>
      </c>
      <c r="M316" s="530">
        <v>11934.979360596339</v>
      </c>
      <c r="N316" s="530">
        <v>21191.343841049849</v>
      </c>
      <c r="O316" s="530">
        <v>25402.493442367566</v>
      </c>
      <c r="P316" s="530">
        <v>20267.571973339316</v>
      </c>
      <c r="Q316" s="530">
        <v>9765.3286783532767</v>
      </c>
      <c r="R316" s="530">
        <v>6603.8472161202499</v>
      </c>
      <c r="S316" s="530">
        <v>6463.4998481586526</v>
      </c>
      <c r="T316" s="530">
        <v>138626.58495668907</v>
      </c>
      <c r="U316" s="530" t="s">
        <v>57</v>
      </c>
    </row>
    <row r="317" spans="1:21" ht="13.8" x14ac:dyDescent="0.3">
      <c r="A317" s="530" t="str">
        <f t="shared" si="8"/>
        <v>Gwynedd.2017.Economic Impact.Food &amp; Drink</v>
      </c>
      <c r="B317" s="530" t="s">
        <v>219</v>
      </c>
      <c r="C317" s="530" t="str">
        <f t="shared" si="9"/>
        <v>2017.Economic Impact.Food &amp; Drink</v>
      </c>
      <c r="D317" s="530" t="s">
        <v>236</v>
      </c>
      <c r="E317" s="530" t="s">
        <v>17</v>
      </c>
      <c r="F317" s="530" t="s">
        <v>49</v>
      </c>
      <c r="G317" s="530" t="s">
        <v>49</v>
      </c>
      <c r="H317" s="530">
        <v>4269.47218750305</v>
      </c>
      <c r="I317" s="530">
        <v>5731.7520986535028</v>
      </c>
      <c r="J317" s="530">
        <v>15025.516892988398</v>
      </c>
      <c r="K317" s="530">
        <v>15324.251142772555</v>
      </c>
      <c r="L317" s="530">
        <v>15817.372891261002</v>
      </c>
      <c r="M317" s="530">
        <v>19497.936439933364</v>
      </c>
      <c r="N317" s="530">
        <v>21674.40981226851</v>
      </c>
      <c r="O317" s="530">
        <v>25581.18085073691</v>
      </c>
      <c r="P317" s="530">
        <v>16073.774099644534</v>
      </c>
      <c r="Q317" s="530">
        <v>13797.476086964196</v>
      </c>
      <c r="R317" s="530">
        <v>8271.2664141311343</v>
      </c>
      <c r="S317" s="530">
        <v>6696.4074339015024</v>
      </c>
      <c r="T317" s="530">
        <v>167760.81635075866</v>
      </c>
      <c r="U317" s="530" t="s">
        <v>57</v>
      </c>
    </row>
    <row r="318" spans="1:21" ht="13.8" x14ac:dyDescent="0.3">
      <c r="A318" s="530" t="str">
        <f t="shared" si="8"/>
        <v>Gwynedd.2017.Economic Impact.Recreation</v>
      </c>
      <c r="B318" s="530" t="s">
        <v>219</v>
      </c>
      <c r="C318" s="530" t="str">
        <f t="shared" si="9"/>
        <v>2017.Economic Impact.Recreation</v>
      </c>
      <c r="D318" s="530" t="s">
        <v>236</v>
      </c>
      <c r="E318" s="530" t="s">
        <v>17</v>
      </c>
      <c r="F318" s="530" t="s">
        <v>50</v>
      </c>
      <c r="G318" s="530" t="s">
        <v>50</v>
      </c>
      <c r="H318" s="530">
        <v>1177.631102146594</v>
      </c>
      <c r="I318" s="530">
        <v>2093.6145330714812</v>
      </c>
      <c r="J318" s="530">
        <v>6657.9023274220563</v>
      </c>
      <c r="K318" s="530">
        <v>5096.2811207455034</v>
      </c>
      <c r="L318" s="530">
        <v>5288.0040629958867</v>
      </c>
      <c r="M318" s="530">
        <v>7313.5958750925029</v>
      </c>
      <c r="N318" s="530">
        <v>7337.4275709165495</v>
      </c>
      <c r="O318" s="530">
        <v>9048.3379329469371</v>
      </c>
      <c r="P318" s="530">
        <v>5602.7546583596095</v>
      </c>
      <c r="Q318" s="530">
        <v>4762.1763316047382</v>
      </c>
      <c r="R318" s="530">
        <v>3354.8972678925711</v>
      </c>
      <c r="S318" s="530">
        <v>2543.5782991360102</v>
      </c>
      <c r="T318" s="530">
        <v>60276.201082330444</v>
      </c>
      <c r="U318" s="530" t="s">
        <v>57</v>
      </c>
    </row>
    <row r="319" spans="1:21" ht="13.8" x14ac:dyDescent="0.3">
      <c r="A319" s="530" t="str">
        <f t="shared" si="8"/>
        <v>Gwynedd.2017.Economic Impact.Shopping</v>
      </c>
      <c r="B319" s="530" t="s">
        <v>219</v>
      </c>
      <c r="C319" s="530" t="str">
        <f t="shared" si="9"/>
        <v>2017.Economic Impact.Shopping</v>
      </c>
      <c r="D319" s="530" t="s">
        <v>236</v>
      </c>
      <c r="E319" s="530" t="s">
        <v>17</v>
      </c>
      <c r="F319" s="530" t="s">
        <v>51</v>
      </c>
      <c r="G319" s="530" t="s">
        <v>51</v>
      </c>
      <c r="H319" s="530">
        <v>5508.0359353606091</v>
      </c>
      <c r="I319" s="530">
        <v>7836.5922145756276</v>
      </c>
      <c r="J319" s="530">
        <v>19117.855641132599</v>
      </c>
      <c r="K319" s="530">
        <v>22039.276099708222</v>
      </c>
      <c r="L319" s="530">
        <v>21138.776027139593</v>
      </c>
      <c r="M319" s="530">
        <v>26939.437393464195</v>
      </c>
      <c r="N319" s="530">
        <v>28337.336121083426</v>
      </c>
      <c r="O319" s="530">
        <v>34373.644852149693</v>
      </c>
      <c r="P319" s="530">
        <v>20580.801353595736</v>
      </c>
      <c r="Q319" s="530">
        <v>17770.099158502366</v>
      </c>
      <c r="R319" s="530">
        <v>9957.4189552341013</v>
      </c>
      <c r="S319" s="530">
        <v>7951.3983774728013</v>
      </c>
      <c r="T319" s="530">
        <v>221550.67212941896</v>
      </c>
      <c r="U319" s="530" t="s">
        <v>57</v>
      </c>
    </row>
    <row r="320" spans="1:21" ht="13.8" x14ac:dyDescent="0.3">
      <c r="A320" s="530" t="str">
        <f t="shared" si="8"/>
        <v>Gwynedd.2017.Economic Impact.Transport</v>
      </c>
      <c r="B320" s="530" t="s">
        <v>219</v>
      </c>
      <c r="C320" s="530" t="str">
        <f t="shared" si="9"/>
        <v>2017.Economic Impact.Transport</v>
      </c>
      <c r="D320" s="530" t="s">
        <v>236</v>
      </c>
      <c r="E320" s="530" t="s">
        <v>17</v>
      </c>
      <c r="F320" s="530" t="s">
        <v>52</v>
      </c>
      <c r="G320" s="530" t="s">
        <v>52</v>
      </c>
      <c r="H320" s="530">
        <v>1782.1623798769426</v>
      </c>
      <c r="I320" s="530">
        <v>2726.8676230593551</v>
      </c>
      <c r="J320" s="530">
        <v>7681.9712638157662</v>
      </c>
      <c r="K320" s="530">
        <v>7266.5551101698748</v>
      </c>
      <c r="L320" s="530">
        <v>7407.3996500797193</v>
      </c>
      <c r="M320" s="530">
        <v>9571.1460853213484</v>
      </c>
      <c r="N320" s="530">
        <v>10129.513679203117</v>
      </c>
      <c r="O320" s="530">
        <v>12204.270312400158</v>
      </c>
      <c r="P320" s="530">
        <v>7500.1206104711218</v>
      </c>
      <c r="Q320" s="530">
        <v>6445.494802268563</v>
      </c>
      <c r="R320" s="530">
        <v>3988.6852176078555</v>
      </c>
      <c r="S320" s="530">
        <v>3091.8574239395725</v>
      </c>
      <c r="T320" s="530">
        <v>79796.044158213379</v>
      </c>
      <c r="U320" s="530" t="s">
        <v>57</v>
      </c>
    </row>
    <row r="321" spans="1:21" ht="13.8" x14ac:dyDescent="0.3">
      <c r="A321" s="530" t="str">
        <f t="shared" si="8"/>
        <v>Gwynedd.2017.Economic Impact.Direct Expenditure</v>
      </c>
      <c r="B321" s="530" t="s">
        <v>219</v>
      </c>
      <c r="C321" s="530" t="str">
        <f t="shared" si="9"/>
        <v>2017.Economic Impact.Direct Expenditure</v>
      </c>
      <c r="D321" s="530" t="s">
        <v>236</v>
      </c>
      <c r="E321" s="530" t="s">
        <v>17</v>
      </c>
      <c r="F321" s="530" t="s">
        <v>44</v>
      </c>
      <c r="G321" s="530" t="s">
        <v>44</v>
      </c>
      <c r="H321" s="530">
        <v>19559.72805330277</v>
      </c>
      <c r="I321" s="530">
        <v>28504.060884548973</v>
      </c>
      <c r="J321" s="530">
        <v>69733.589772208172</v>
      </c>
      <c r="K321" s="530">
        <v>70859.347609101547</v>
      </c>
      <c r="L321" s="530">
        <v>70525.046762257145</v>
      </c>
      <c r="M321" s="530">
        <v>90308.514185289314</v>
      </c>
      <c r="N321" s="530">
        <v>106404.03722942574</v>
      </c>
      <c r="O321" s="530">
        <v>127931.91286872153</v>
      </c>
      <c r="P321" s="530">
        <v>84030.027234492372</v>
      </c>
      <c r="Q321" s="530">
        <v>63048.690069231765</v>
      </c>
      <c r="R321" s="530">
        <v>38611.338085183095</v>
      </c>
      <c r="S321" s="530">
        <v>32096.089659130244</v>
      </c>
      <c r="T321" s="530">
        <v>801612.38241289253</v>
      </c>
      <c r="U321" s="530" t="s">
        <v>57</v>
      </c>
    </row>
    <row r="322" spans="1:21" ht="13.8" x14ac:dyDescent="0.3">
      <c r="A322" s="530" t="str">
        <f t="shared" si="8"/>
        <v>Gwynedd.2017.Population.Total</v>
      </c>
      <c r="B322" s="530" t="s">
        <v>219</v>
      </c>
      <c r="C322" s="530" t="str">
        <f t="shared" si="9"/>
        <v>2017.Population.Total</v>
      </c>
      <c r="D322" s="530" t="s">
        <v>236</v>
      </c>
      <c r="E322" s="530" t="s">
        <v>19</v>
      </c>
      <c r="F322" s="530" t="s">
        <v>54</v>
      </c>
      <c r="G322" s="530" t="s">
        <v>54</v>
      </c>
      <c r="H322" s="530">
        <v>123627</v>
      </c>
      <c r="I322" s="530">
        <v>123627</v>
      </c>
      <c r="J322" s="530">
        <v>123627</v>
      </c>
      <c r="K322" s="530">
        <v>123627</v>
      </c>
      <c r="L322" s="530">
        <v>123627</v>
      </c>
      <c r="M322" s="530">
        <v>123627</v>
      </c>
      <c r="N322" s="530">
        <v>123627</v>
      </c>
      <c r="O322" s="530">
        <v>123627</v>
      </c>
      <c r="P322" s="530">
        <v>123627</v>
      </c>
      <c r="Q322" s="530">
        <v>123627</v>
      </c>
      <c r="R322" s="530">
        <v>123627</v>
      </c>
      <c r="S322" s="530">
        <v>123627</v>
      </c>
      <c r="T322" s="530">
        <v>123627</v>
      </c>
      <c r="U322" s="530" t="s">
        <v>60</v>
      </c>
    </row>
    <row r="323" spans="1:21" ht="13.8" x14ac:dyDescent="0.3">
      <c r="A323" s="530" t="str">
        <f t="shared" si="8"/>
        <v>Gwynedd.2017.Employment.Serviced Accommodation</v>
      </c>
      <c r="B323" s="530" t="s">
        <v>219</v>
      </c>
      <c r="C323" s="530" t="str">
        <f t="shared" si="9"/>
        <v>2017.Employment.Serviced Accommodation</v>
      </c>
      <c r="D323" s="530" t="s">
        <v>236</v>
      </c>
      <c r="E323" s="530" t="s">
        <v>20</v>
      </c>
      <c r="F323" s="530" t="s">
        <v>43</v>
      </c>
      <c r="G323" s="530" t="s">
        <v>43</v>
      </c>
      <c r="H323" s="530">
        <v>1307.6682818341783</v>
      </c>
      <c r="I323" s="530">
        <v>1460.8969092829193</v>
      </c>
      <c r="J323" s="530">
        <v>1665.9320647680793</v>
      </c>
      <c r="K323" s="530">
        <v>1841.132599196573</v>
      </c>
      <c r="L323" s="530">
        <v>1880.4550814891072</v>
      </c>
      <c r="M323" s="530">
        <v>1928.9375760381981</v>
      </c>
      <c r="N323" s="530">
        <v>2054.3655118578104</v>
      </c>
      <c r="O323" s="530">
        <v>2186.6274253504998</v>
      </c>
      <c r="P323" s="530">
        <v>1965.8481960005779</v>
      </c>
      <c r="Q323" s="530">
        <v>1795.7572836422146</v>
      </c>
      <c r="R323" s="530">
        <v>1470.2178971546364</v>
      </c>
      <c r="S323" s="530">
        <v>1497.8909308438222</v>
      </c>
      <c r="T323" s="530">
        <v>1754.644146454885</v>
      </c>
      <c r="U323" s="530" t="s">
        <v>59</v>
      </c>
    </row>
    <row r="324" spans="1:21" ht="13.8" x14ac:dyDescent="0.3">
      <c r="A324" s="530" t="str">
        <f t="shared" si="8"/>
        <v>Gwynedd.2017.Employment.Non-Serviced Accommodation</v>
      </c>
      <c r="B324" s="530" t="s">
        <v>219</v>
      </c>
      <c r="C324" s="530" t="str">
        <f t="shared" si="9"/>
        <v>2017.Employment.Non-Serviced Accommodation</v>
      </c>
      <c r="D324" s="530" t="s">
        <v>236</v>
      </c>
      <c r="E324" s="530" t="s">
        <v>20</v>
      </c>
      <c r="F324" s="530" t="s">
        <v>48</v>
      </c>
      <c r="G324" s="530" t="s">
        <v>48</v>
      </c>
      <c r="H324" s="530">
        <v>4562.9499564117878</v>
      </c>
      <c r="I324" s="530">
        <v>5342.8978974068059</v>
      </c>
      <c r="J324" s="530">
        <v>10371.033019795079</v>
      </c>
      <c r="K324" s="530">
        <v>9131.8162182017259</v>
      </c>
      <c r="L324" s="530">
        <v>9836.0567745557364</v>
      </c>
      <c r="M324" s="530">
        <v>11574.059557663355</v>
      </c>
      <c r="N324" s="530">
        <v>12595.950213881844</v>
      </c>
      <c r="O324" s="530">
        <v>15198.170252858536</v>
      </c>
      <c r="P324" s="530">
        <v>10436.4859581747</v>
      </c>
      <c r="Q324" s="530">
        <v>9434.3789254334606</v>
      </c>
      <c r="R324" s="530">
        <v>6965.9178899040808</v>
      </c>
      <c r="S324" s="530">
        <v>5859.148942466426</v>
      </c>
      <c r="T324" s="530">
        <v>9275.7388005627945</v>
      </c>
      <c r="U324" s="530" t="s">
        <v>59</v>
      </c>
    </row>
    <row r="325" spans="1:21" ht="13.8" x14ac:dyDescent="0.3">
      <c r="A325" s="530" t="str">
        <f t="shared" si="8"/>
        <v>Gwynedd.2017.Employment.SFR</v>
      </c>
      <c r="B325" s="530" t="s">
        <v>219</v>
      </c>
      <c r="C325" s="530" t="str">
        <f t="shared" si="9"/>
        <v>2017.Employment.SFR</v>
      </c>
      <c r="D325" s="530" t="s">
        <v>236</v>
      </c>
      <c r="E325" s="530" t="s">
        <v>20</v>
      </c>
      <c r="F325" s="530" t="s">
        <v>18</v>
      </c>
      <c r="G325" s="530" t="s">
        <v>18</v>
      </c>
      <c r="H325" s="530">
        <v>252.65687556133577</v>
      </c>
      <c r="I325" s="530">
        <v>84.892710188608802</v>
      </c>
      <c r="J325" s="530">
        <v>96.571072436777229</v>
      </c>
      <c r="K325" s="530">
        <v>230.42307051193819</v>
      </c>
      <c r="L325" s="530">
        <v>148.22536699598365</v>
      </c>
      <c r="M325" s="530">
        <v>114.18069520367888</v>
      </c>
      <c r="N325" s="530">
        <v>185.28170874497957</v>
      </c>
      <c r="O325" s="530">
        <v>196.13809395798845</v>
      </c>
      <c r="P325" s="530">
        <v>101.02704138612165</v>
      </c>
      <c r="Q325" s="530">
        <v>100.92799989090159</v>
      </c>
      <c r="R325" s="530">
        <v>78.643663466391786</v>
      </c>
      <c r="S325" s="530">
        <v>227.72806383928398</v>
      </c>
      <c r="T325" s="530">
        <v>151.3913635153325</v>
      </c>
      <c r="U325" s="530" t="s">
        <v>59</v>
      </c>
    </row>
    <row r="326" spans="1:21" ht="13.8" x14ac:dyDescent="0.3">
      <c r="A326" s="530" t="str">
        <f t="shared" si="8"/>
        <v>Gwynedd.2017.Employment.Day Visitor</v>
      </c>
      <c r="B326" s="530" t="s">
        <v>219</v>
      </c>
      <c r="C326" s="530" t="str">
        <f t="shared" si="9"/>
        <v>2017.Employment.Day Visitor</v>
      </c>
      <c r="D326" s="530" t="s">
        <v>236</v>
      </c>
      <c r="E326" s="530" t="s">
        <v>20</v>
      </c>
      <c r="F326" s="530" t="s">
        <v>71</v>
      </c>
      <c r="G326" s="530" t="s">
        <v>71</v>
      </c>
      <c r="H326" s="530">
        <v>225.0516655036856</v>
      </c>
      <c r="I326" s="530">
        <v>543.05299859392574</v>
      </c>
      <c r="J326" s="530">
        <v>1364.2405304970748</v>
      </c>
      <c r="K326" s="530">
        <v>2701.6070395700008</v>
      </c>
      <c r="L326" s="530">
        <v>2090.8770380336023</v>
      </c>
      <c r="M326" s="530">
        <v>2880.1478358825079</v>
      </c>
      <c r="N326" s="530">
        <v>2497.0691080785396</v>
      </c>
      <c r="O326" s="530">
        <v>3410.5632049199221</v>
      </c>
      <c r="P326" s="530">
        <v>1497.8433689143062</v>
      </c>
      <c r="Q326" s="530">
        <v>1277.8687286998784</v>
      </c>
      <c r="R326" s="530">
        <v>422.08918275867654</v>
      </c>
      <c r="S326" s="530">
        <v>312.14780492501239</v>
      </c>
      <c r="T326" s="530">
        <v>1601.8798755314276</v>
      </c>
      <c r="U326" s="530" t="s">
        <v>59</v>
      </c>
    </row>
    <row r="327" spans="1:21" ht="13.8" x14ac:dyDescent="0.3">
      <c r="A327" s="530" t="str">
        <f t="shared" si="8"/>
        <v>Gwynedd.2017.Employment.Direct Employment</v>
      </c>
      <c r="B327" s="530" t="s">
        <v>219</v>
      </c>
      <c r="C327" s="530" t="str">
        <f t="shared" si="9"/>
        <v>2017.Employment.Direct Employment</v>
      </c>
      <c r="D327" s="530" t="s">
        <v>236</v>
      </c>
      <c r="E327" s="530" t="s">
        <v>20</v>
      </c>
      <c r="F327" s="530" t="s">
        <v>55</v>
      </c>
      <c r="G327" s="530" t="s">
        <v>55</v>
      </c>
      <c r="H327" s="530">
        <v>6348.3267793109881</v>
      </c>
      <c r="I327" s="530">
        <v>7431.7405154722592</v>
      </c>
      <c r="J327" s="530">
        <v>13497.776687497009</v>
      </c>
      <c r="K327" s="530">
        <v>13904.978927480239</v>
      </c>
      <c r="L327" s="530">
        <v>13955.614261074428</v>
      </c>
      <c r="M327" s="530">
        <v>16497.325664787739</v>
      </c>
      <c r="N327" s="530">
        <v>17332.666542563173</v>
      </c>
      <c r="O327" s="530">
        <v>20991.498977086943</v>
      </c>
      <c r="P327" s="530">
        <v>14001.204564475705</v>
      </c>
      <c r="Q327" s="530">
        <v>12608.932937666457</v>
      </c>
      <c r="R327" s="530">
        <v>8936.8686332837842</v>
      </c>
      <c r="S327" s="530">
        <v>7896.9157420745451</v>
      </c>
      <c r="T327" s="530">
        <v>12783.654186064441</v>
      </c>
      <c r="U327" s="530" t="s">
        <v>59</v>
      </c>
    </row>
    <row r="328" spans="1:21" ht="13.8" x14ac:dyDescent="0.3">
      <c r="A328" s="530" t="str">
        <f t="shared" si="8"/>
        <v>Gwynedd.2017.Employment.Indirect Employment</v>
      </c>
      <c r="B328" s="530" t="s">
        <v>219</v>
      </c>
      <c r="C328" s="530" t="str">
        <f t="shared" si="9"/>
        <v>2017.Employment.Indirect Employment</v>
      </c>
      <c r="D328" s="530" t="s">
        <v>236</v>
      </c>
      <c r="E328" s="530" t="s">
        <v>20</v>
      </c>
      <c r="F328" s="530" t="s">
        <v>53</v>
      </c>
      <c r="G328" s="530" t="s">
        <v>53</v>
      </c>
      <c r="H328" s="530">
        <v>909.05871992003142</v>
      </c>
      <c r="I328" s="530">
        <v>1301.2092239654683</v>
      </c>
      <c r="J328" s="530">
        <v>3039.1159205199419</v>
      </c>
      <c r="K328" s="530">
        <v>3148.8131482389367</v>
      </c>
      <c r="L328" s="530">
        <v>3093.2084615427957</v>
      </c>
      <c r="M328" s="530">
        <v>3985.3238288484877</v>
      </c>
      <c r="N328" s="530">
        <v>4704.2532153112443</v>
      </c>
      <c r="O328" s="530">
        <v>5675.4270221750367</v>
      </c>
      <c r="P328" s="530">
        <v>3752.559692108016</v>
      </c>
      <c r="Q328" s="530">
        <v>2820.5012756875849</v>
      </c>
      <c r="R328" s="530">
        <v>1722.5192992688064</v>
      </c>
      <c r="S328" s="530">
        <v>1440.061520031704</v>
      </c>
      <c r="T328" s="530">
        <v>2966.0042773015048</v>
      </c>
      <c r="U328" s="530" t="s">
        <v>59</v>
      </c>
    </row>
    <row r="329" spans="1:21" ht="13.8" x14ac:dyDescent="0.3">
      <c r="A329" s="530" t="str">
        <f t="shared" ref="A329:A392" si="10">B329&amp;"."&amp;D329&amp;"."&amp;E329&amp;"."&amp;F329</f>
        <v>Gwynedd.2017.Employment.Total</v>
      </c>
      <c r="B329" s="530" t="s">
        <v>219</v>
      </c>
      <c r="C329" s="530" t="str">
        <f t="shared" ref="C329:C392" si="11">D329&amp;"."&amp;E329&amp;"."&amp;F329</f>
        <v>2017.Employment.Total</v>
      </c>
      <c r="D329" s="530" t="s">
        <v>236</v>
      </c>
      <c r="E329" s="530" t="s">
        <v>20</v>
      </c>
      <c r="F329" s="530" t="s">
        <v>54</v>
      </c>
      <c r="G329" s="530" t="s">
        <v>54</v>
      </c>
      <c r="H329" s="530">
        <v>7257.3854992310198</v>
      </c>
      <c r="I329" s="530">
        <v>8732.9497394377267</v>
      </c>
      <c r="J329" s="530">
        <v>16536.892608016951</v>
      </c>
      <c r="K329" s="530">
        <v>17053.792075719175</v>
      </c>
      <c r="L329" s="530">
        <v>17048.822722617224</v>
      </c>
      <c r="M329" s="530">
        <v>20482.649493636225</v>
      </c>
      <c r="N329" s="530">
        <v>22036.919757874417</v>
      </c>
      <c r="O329" s="530">
        <v>26666.925999261981</v>
      </c>
      <c r="P329" s="530">
        <v>17753.764256583723</v>
      </c>
      <c r="Q329" s="530">
        <v>15429.434213354041</v>
      </c>
      <c r="R329" s="530">
        <v>10659.38793255259</v>
      </c>
      <c r="S329" s="530">
        <v>9336.9772621062493</v>
      </c>
      <c r="T329" s="530">
        <v>15749.658463365944</v>
      </c>
      <c r="U329" s="530" t="s">
        <v>59</v>
      </c>
    </row>
    <row r="330" spans="1:21" ht="13.8" x14ac:dyDescent="0.3">
      <c r="A330" s="530" t="str">
        <f t="shared" si="10"/>
        <v>Gwynedd.2017.Employment.Accommodation</v>
      </c>
      <c r="B330" s="530" t="s">
        <v>219</v>
      </c>
      <c r="C330" s="530" t="str">
        <f t="shared" si="11"/>
        <v>2017.Employment.Accommodation</v>
      </c>
      <c r="D330" s="530" t="s">
        <v>236</v>
      </c>
      <c r="E330" s="530" t="s">
        <v>20</v>
      </c>
      <c r="F330" s="530" t="s">
        <v>23</v>
      </c>
      <c r="G330" s="530" t="s">
        <v>23</v>
      </c>
      <c r="H330" s="530">
        <v>3953.5</v>
      </c>
      <c r="I330" s="530">
        <v>3994.9</v>
      </c>
      <c r="J330" s="530">
        <v>4429</v>
      </c>
      <c r="K330" s="530">
        <v>4640.5</v>
      </c>
      <c r="L330" s="530">
        <v>4677.2</v>
      </c>
      <c r="M330" s="530">
        <v>4688.2027322404374</v>
      </c>
      <c r="N330" s="530">
        <v>4710.0992596509786</v>
      </c>
      <c r="O330" s="530">
        <v>5821.9180175098427</v>
      </c>
      <c r="P330" s="530">
        <v>4681.1502732240442</v>
      </c>
      <c r="Q330" s="530">
        <v>4600.5</v>
      </c>
      <c r="R330" s="530">
        <v>4134.6000000000004</v>
      </c>
      <c r="S330" s="530">
        <v>4079</v>
      </c>
      <c r="T330" s="530">
        <v>4534.214190218775</v>
      </c>
      <c r="U330" s="530" t="s">
        <v>59</v>
      </c>
    </row>
    <row r="331" spans="1:21" ht="13.8" x14ac:dyDescent="0.3">
      <c r="A331" s="530" t="str">
        <f t="shared" si="10"/>
        <v>Gwynedd.2017.Employment.Food &amp; Drink</v>
      </c>
      <c r="B331" s="530" t="s">
        <v>219</v>
      </c>
      <c r="C331" s="530" t="str">
        <f t="shared" si="11"/>
        <v>2017.Employment.Food &amp; Drink</v>
      </c>
      <c r="D331" s="530" t="s">
        <v>236</v>
      </c>
      <c r="E331" s="530" t="s">
        <v>20</v>
      </c>
      <c r="F331" s="530" t="s">
        <v>49</v>
      </c>
      <c r="G331" s="530" t="s">
        <v>49</v>
      </c>
      <c r="H331" s="530">
        <v>1010.0174212990894</v>
      </c>
      <c r="I331" s="530">
        <v>1355.9450020901486</v>
      </c>
      <c r="J331" s="530">
        <v>3554.545657976887</v>
      </c>
      <c r="K331" s="530">
        <v>3625.2164068118086</v>
      </c>
      <c r="L331" s="530">
        <v>3741.8728774295701</v>
      </c>
      <c r="M331" s="530">
        <v>4612.573784028421</v>
      </c>
      <c r="N331" s="530">
        <v>5127.4561691360077</v>
      </c>
      <c r="O331" s="530">
        <v>6051.6703662514446</v>
      </c>
      <c r="P331" s="530">
        <v>3802.5290138174641</v>
      </c>
      <c r="Q331" s="530">
        <v>3264.0313850929547</v>
      </c>
      <c r="R331" s="530">
        <v>1956.7109955491485</v>
      </c>
      <c r="S331" s="530">
        <v>1584.1508906310016</v>
      </c>
      <c r="T331" s="530">
        <v>3307.2266641761621</v>
      </c>
      <c r="U331" s="530" t="s">
        <v>59</v>
      </c>
    </row>
    <row r="332" spans="1:21" ht="13.8" x14ac:dyDescent="0.3">
      <c r="A332" s="530" t="str">
        <f t="shared" si="10"/>
        <v>Gwynedd.2017.Employment.Recreation</v>
      </c>
      <c r="B332" s="530" t="s">
        <v>219</v>
      </c>
      <c r="C332" s="530" t="str">
        <f t="shared" si="11"/>
        <v>2017.Employment.Recreation</v>
      </c>
      <c r="D332" s="530" t="s">
        <v>236</v>
      </c>
      <c r="E332" s="530" t="s">
        <v>20</v>
      </c>
      <c r="F332" s="530" t="s">
        <v>50</v>
      </c>
      <c r="G332" s="530" t="s">
        <v>50</v>
      </c>
      <c r="H332" s="530">
        <v>265.42174320453069</v>
      </c>
      <c r="I332" s="530">
        <v>471.87172447573363</v>
      </c>
      <c r="J332" s="530">
        <v>1500.5989894532231</v>
      </c>
      <c r="K332" s="530">
        <v>1148.6311939816858</v>
      </c>
      <c r="L332" s="530">
        <v>1191.8428902859362</v>
      </c>
      <c r="M332" s="530">
        <v>1648.3832353969826</v>
      </c>
      <c r="N332" s="530">
        <v>1653.7545696268689</v>
      </c>
      <c r="O332" s="530">
        <v>2039.370073437052</v>
      </c>
      <c r="P332" s="530">
        <v>1262.7833159793668</v>
      </c>
      <c r="Q332" s="530">
        <v>1073.3286010176582</v>
      </c>
      <c r="R332" s="530">
        <v>756.14738732105684</v>
      </c>
      <c r="S332" s="530">
        <v>573.2873264838878</v>
      </c>
      <c r="T332" s="530">
        <v>1132.118420888665</v>
      </c>
      <c r="U332" s="530" t="s">
        <v>59</v>
      </c>
    </row>
    <row r="333" spans="1:21" ht="13.8" x14ac:dyDescent="0.3">
      <c r="A333" s="530" t="str">
        <f t="shared" si="10"/>
        <v>Gwynedd.2017.Employment.Shopping</v>
      </c>
      <c r="B333" s="530" t="s">
        <v>219</v>
      </c>
      <c r="C333" s="530" t="str">
        <f t="shared" si="11"/>
        <v>2017.Employment.Shopping</v>
      </c>
      <c r="D333" s="530" t="s">
        <v>236</v>
      </c>
      <c r="E333" s="530" t="s">
        <v>20</v>
      </c>
      <c r="F333" s="530" t="s">
        <v>51</v>
      </c>
      <c r="G333" s="530" t="s">
        <v>51</v>
      </c>
      <c r="H333" s="530">
        <v>966.51652765713266</v>
      </c>
      <c r="I333" s="530">
        <v>1375.1173711978834</v>
      </c>
      <c r="J333" s="530">
        <v>3354.6846221343826</v>
      </c>
      <c r="K333" s="530">
        <v>3867.3176533246847</v>
      </c>
      <c r="L333" s="530">
        <v>3709.3033967896922</v>
      </c>
      <c r="M333" s="530">
        <v>4727.1680490339922</v>
      </c>
      <c r="N333" s="530">
        <v>4972.4627856861425</v>
      </c>
      <c r="O333" s="530">
        <v>6031.6773992223634</v>
      </c>
      <c r="P333" s="530">
        <v>3611.3934066728752</v>
      </c>
      <c r="Q333" s="530">
        <v>3118.188540589867</v>
      </c>
      <c r="R333" s="530">
        <v>1747.2671031893144</v>
      </c>
      <c r="S333" s="530">
        <v>1395.2628559440263</v>
      </c>
      <c r="T333" s="530">
        <v>3239.6966426201961</v>
      </c>
      <c r="U333" s="530" t="s">
        <v>59</v>
      </c>
    </row>
    <row r="334" spans="1:21" ht="13.8" x14ac:dyDescent="0.3">
      <c r="A334" s="530" t="str">
        <f t="shared" si="10"/>
        <v>Gwynedd.2017.Employment.Transport</v>
      </c>
      <c r="B334" s="530" t="s">
        <v>219</v>
      </c>
      <c r="C334" s="530" t="str">
        <f t="shared" si="11"/>
        <v>2017.Employment.Transport</v>
      </c>
      <c r="D334" s="530" t="s">
        <v>236</v>
      </c>
      <c r="E334" s="530" t="s">
        <v>20</v>
      </c>
      <c r="F334" s="530" t="s">
        <v>52</v>
      </c>
      <c r="G334" s="530" t="s">
        <v>52</v>
      </c>
      <c r="H334" s="530">
        <v>152.8710871502351</v>
      </c>
      <c r="I334" s="530">
        <v>233.90641770849467</v>
      </c>
      <c r="J334" s="530">
        <v>658.9474179325174</v>
      </c>
      <c r="K334" s="530">
        <v>623.31367336205824</v>
      </c>
      <c r="L334" s="530">
        <v>635.39509656922939</v>
      </c>
      <c r="M334" s="530">
        <v>820.99786408790715</v>
      </c>
      <c r="N334" s="530">
        <v>868.89375846317773</v>
      </c>
      <c r="O334" s="530">
        <v>1046.8631206662412</v>
      </c>
      <c r="P334" s="530">
        <v>643.34855478195766</v>
      </c>
      <c r="Q334" s="530">
        <v>552.88441096597569</v>
      </c>
      <c r="R334" s="530">
        <v>342.14314722426593</v>
      </c>
      <c r="S334" s="530">
        <v>265.21466901562832</v>
      </c>
      <c r="T334" s="530">
        <v>570.39826816064067</v>
      </c>
      <c r="U334" s="530" t="s">
        <v>59</v>
      </c>
    </row>
    <row r="335" spans="1:21" ht="13.8" x14ac:dyDescent="0.3">
      <c r="A335" s="530" t="str">
        <f t="shared" si="10"/>
        <v>Gwynedd.2017.Visitor Days.Serviced Accommodation</v>
      </c>
      <c r="B335" s="530" t="s">
        <v>219</v>
      </c>
      <c r="C335" s="530" t="str">
        <f t="shared" si="11"/>
        <v>2017.Visitor Days.Serviced Accommodation</v>
      </c>
      <c r="D335" s="530" t="s">
        <v>236</v>
      </c>
      <c r="E335" s="530" t="s">
        <v>171</v>
      </c>
      <c r="F335" s="530" t="s">
        <v>43</v>
      </c>
      <c r="G335" s="530" t="s">
        <v>43</v>
      </c>
      <c r="H335" s="530">
        <v>25.537276146419515</v>
      </c>
      <c r="I335" s="530">
        <v>47.427701830739039</v>
      </c>
      <c r="J335" s="530">
        <v>69.504442940996171</v>
      </c>
      <c r="K335" s="530">
        <v>98.030151240437164</v>
      </c>
      <c r="L335" s="530">
        <v>104.94185114895461</v>
      </c>
      <c r="M335" s="530">
        <v>114.55499354280511</v>
      </c>
      <c r="N335" s="530">
        <v>134.77755817468125</v>
      </c>
      <c r="O335" s="530">
        <v>145.56748606047358</v>
      </c>
      <c r="P335" s="530">
        <v>119.54327840983608</v>
      </c>
      <c r="Q335" s="530">
        <v>90.438665451952971</v>
      </c>
      <c r="R335" s="530">
        <v>43.105364200277783</v>
      </c>
      <c r="S335" s="530">
        <v>51.557581900921747</v>
      </c>
      <c r="T335" s="530">
        <v>1044.986351048495</v>
      </c>
      <c r="U335" s="530" t="s">
        <v>61</v>
      </c>
    </row>
    <row r="336" spans="1:21" ht="13.8" x14ac:dyDescent="0.3">
      <c r="A336" s="530" t="str">
        <f t="shared" si="10"/>
        <v>Gwynedd.2017.Visitor Days.Non-Serviced Accommodation</v>
      </c>
      <c r="B336" s="530" t="s">
        <v>219</v>
      </c>
      <c r="C336" s="530" t="str">
        <f t="shared" si="11"/>
        <v>2017.Visitor Days.Non-Serviced Accommodation</v>
      </c>
      <c r="D336" s="530" t="s">
        <v>236</v>
      </c>
      <c r="E336" s="530" t="s">
        <v>171</v>
      </c>
      <c r="F336" s="530" t="s">
        <v>48</v>
      </c>
      <c r="G336" s="530" t="s">
        <v>48</v>
      </c>
      <c r="H336" s="530">
        <v>451.25006920211126</v>
      </c>
      <c r="I336" s="530">
        <v>602.53615427228067</v>
      </c>
      <c r="J336" s="530">
        <v>1619.6240103817199</v>
      </c>
      <c r="K336" s="530">
        <v>1400.400736855491</v>
      </c>
      <c r="L336" s="530">
        <v>1570.780015873723</v>
      </c>
      <c r="M336" s="530">
        <v>1914.0739646255818</v>
      </c>
      <c r="N336" s="530">
        <v>2229.0915820873684</v>
      </c>
      <c r="O336" s="530">
        <v>2570.770047656642</v>
      </c>
      <c r="P336" s="530">
        <v>1711.3688738266958</v>
      </c>
      <c r="Q336" s="530">
        <v>1477.3468002056263</v>
      </c>
      <c r="R336" s="530">
        <v>953.16924190983173</v>
      </c>
      <c r="S336" s="530">
        <v>717.45258235185929</v>
      </c>
      <c r="T336" s="530">
        <v>17217.864079248931</v>
      </c>
      <c r="U336" s="530" t="s">
        <v>61</v>
      </c>
    </row>
    <row r="337" spans="1:21" ht="13.8" x14ac:dyDescent="0.3">
      <c r="A337" s="530" t="str">
        <f t="shared" si="10"/>
        <v>Gwynedd.2017.Visitor Days.SFR</v>
      </c>
      <c r="B337" s="530" t="s">
        <v>219</v>
      </c>
      <c r="C337" s="530" t="str">
        <f t="shared" si="11"/>
        <v>2017.Visitor Days.SFR</v>
      </c>
      <c r="D337" s="530" t="s">
        <v>236</v>
      </c>
      <c r="E337" s="530" t="s">
        <v>171</v>
      </c>
      <c r="F337" s="530" t="s">
        <v>18</v>
      </c>
      <c r="G337" s="530" t="s">
        <v>18</v>
      </c>
      <c r="H337" s="530">
        <v>63.218352272727273</v>
      </c>
      <c r="I337" s="530">
        <v>21.241366363636359</v>
      </c>
      <c r="J337" s="530">
        <v>24.16345909090909</v>
      </c>
      <c r="K337" s="530">
        <v>57.655137272727266</v>
      </c>
      <c r="L337" s="530">
        <v>37.088099999999997</v>
      </c>
      <c r="M337" s="530">
        <v>28.569637759090909</v>
      </c>
      <c r="N337" s="530">
        <v>46.360124999999996</v>
      </c>
      <c r="O337" s="530">
        <v>49.076547354545454</v>
      </c>
      <c r="P337" s="530">
        <v>25.278406048636363</v>
      </c>
      <c r="Q337" s="530">
        <v>25.253624454545452</v>
      </c>
      <c r="R337" s="530">
        <v>19.677765784090905</v>
      </c>
      <c r="S337" s="530">
        <v>56.980808181818183</v>
      </c>
      <c r="T337" s="530">
        <v>454.56332958272725</v>
      </c>
      <c r="U337" s="530" t="s">
        <v>61</v>
      </c>
    </row>
    <row r="338" spans="1:21" ht="13.8" x14ac:dyDescent="0.3">
      <c r="A338" s="530" t="str">
        <f t="shared" si="10"/>
        <v>Gwynedd.2017.Visitor Days.Day Visitor</v>
      </c>
      <c r="B338" s="530" t="s">
        <v>219</v>
      </c>
      <c r="C338" s="530" t="str">
        <f t="shared" si="11"/>
        <v>2017.Visitor Days.Day Visitor</v>
      </c>
      <c r="D338" s="530" t="s">
        <v>236</v>
      </c>
      <c r="E338" s="530" t="s">
        <v>171</v>
      </c>
      <c r="F338" s="530" t="s">
        <v>71</v>
      </c>
      <c r="G338" s="530" t="s">
        <v>71</v>
      </c>
      <c r="H338" s="530">
        <v>43.884445257524433</v>
      </c>
      <c r="I338" s="530">
        <v>105.89381569513131</v>
      </c>
      <c r="J338" s="530">
        <v>266.02308738619183</v>
      </c>
      <c r="K338" s="530">
        <v>526.80581576682778</v>
      </c>
      <c r="L338" s="530">
        <v>407.7151738043803</v>
      </c>
      <c r="M338" s="530">
        <v>561.62077163251865</v>
      </c>
      <c r="N338" s="530">
        <v>486.92149126056302</v>
      </c>
      <c r="O338" s="530">
        <v>665.05028491417363</v>
      </c>
      <c r="P338" s="530">
        <v>292.07526716299446</v>
      </c>
      <c r="Q338" s="530">
        <v>249.18082763539365</v>
      </c>
      <c r="R338" s="530">
        <v>82.306209967875205</v>
      </c>
      <c r="S338" s="530">
        <v>60.867948818907038</v>
      </c>
      <c r="T338" s="530">
        <v>3748.3451393024807</v>
      </c>
      <c r="U338" s="530" t="s">
        <v>61</v>
      </c>
    </row>
    <row r="339" spans="1:21" ht="13.8" x14ac:dyDescent="0.3">
      <c r="A339" s="530" t="str">
        <f t="shared" si="10"/>
        <v>Gwynedd.2017.Visitor Days.Total</v>
      </c>
      <c r="B339" s="530" t="s">
        <v>219</v>
      </c>
      <c r="C339" s="530" t="str">
        <f t="shared" si="11"/>
        <v>2017.Visitor Days.Total</v>
      </c>
      <c r="D339" s="530" t="s">
        <v>236</v>
      </c>
      <c r="E339" s="530" t="s">
        <v>171</v>
      </c>
      <c r="F339" s="530" t="s">
        <v>54</v>
      </c>
      <c r="G339" s="530" t="s">
        <v>54</v>
      </c>
      <c r="H339" s="530">
        <v>583.89014287878251</v>
      </c>
      <c r="I339" s="530">
        <v>777.09903816178735</v>
      </c>
      <c r="J339" s="530">
        <v>1979.3149997998171</v>
      </c>
      <c r="K339" s="530">
        <v>2082.891841135483</v>
      </c>
      <c r="L339" s="530">
        <v>2120.5251408270578</v>
      </c>
      <c r="M339" s="530">
        <v>2618.819367559996</v>
      </c>
      <c r="N339" s="530">
        <v>2897.1507565226129</v>
      </c>
      <c r="O339" s="530">
        <v>3430.4643659858343</v>
      </c>
      <c r="P339" s="530">
        <v>2148.2658254481626</v>
      </c>
      <c r="Q339" s="530">
        <v>1842.2199177475184</v>
      </c>
      <c r="R339" s="530">
        <v>1098.2585818620755</v>
      </c>
      <c r="S339" s="530">
        <v>886.8589212535062</v>
      </c>
      <c r="T339" s="530">
        <v>22465.758899182634</v>
      </c>
      <c r="U339" s="530" t="s">
        <v>61</v>
      </c>
    </row>
    <row r="340" spans="1:21" ht="13.8" x14ac:dyDescent="0.3">
      <c r="A340" s="530" t="str">
        <f t="shared" si="10"/>
        <v>Gwynedd.2017.Visitor Numbers.Serviced Accommodation</v>
      </c>
      <c r="B340" s="530" t="s">
        <v>219</v>
      </c>
      <c r="C340" s="530" t="str">
        <f t="shared" si="11"/>
        <v>2017.Visitor Numbers.Serviced Accommodation</v>
      </c>
      <c r="D340" s="530" t="s">
        <v>236</v>
      </c>
      <c r="E340" s="530" t="s">
        <v>172</v>
      </c>
      <c r="F340" s="530" t="s">
        <v>43</v>
      </c>
      <c r="G340" s="530" t="s">
        <v>43</v>
      </c>
      <c r="H340" s="530">
        <v>16.185587217143286</v>
      </c>
      <c r="I340" s="530">
        <v>31.192514208273458</v>
      </c>
      <c r="J340" s="530">
        <v>33.990921368199231</v>
      </c>
      <c r="K340" s="530">
        <v>54.157850133576204</v>
      </c>
      <c r="L340" s="530">
        <v>56.206909483406641</v>
      </c>
      <c r="M340" s="530">
        <v>65.012159886939486</v>
      </c>
      <c r="N340" s="530">
        <v>79.597390004251508</v>
      </c>
      <c r="O340" s="530">
        <v>85.006307964862344</v>
      </c>
      <c r="P340" s="530">
        <v>61.839050060178288</v>
      </c>
      <c r="Q340" s="530">
        <v>51.769209663637312</v>
      </c>
      <c r="R340" s="530">
        <v>25.49947449743339</v>
      </c>
      <c r="S340" s="530">
        <v>30.825841550614498</v>
      </c>
      <c r="T340" s="530">
        <v>591.28321603851577</v>
      </c>
      <c r="U340" s="530" t="s">
        <v>61</v>
      </c>
    </row>
    <row r="341" spans="1:21" ht="13.8" x14ac:dyDescent="0.3">
      <c r="A341" s="530" t="str">
        <f t="shared" si="10"/>
        <v>Gwynedd.2017.Visitor Numbers.Non-Serviced Accommodation</v>
      </c>
      <c r="B341" s="530" t="s">
        <v>219</v>
      </c>
      <c r="C341" s="530" t="str">
        <f t="shared" si="11"/>
        <v>2017.Visitor Numbers.Non-Serviced Accommodation</v>
      </c>
      <c r="D341" s="530" t="s">
        <v>236</v>
      </c>
      <c r="E341" s="530" t="s">
        <v>172</v>
      </c>
      <c r="F341" s="530" t="s">
        <v>48</v>
      </c>
      <c r="G341" s="530" t="s">
        <v>48</v>
      </c>
      <c r="H341" s="530">
        <v>132.70484840377179</v>
      </c>
      <c r="I341" s="530">
        <v>150.75239519052576</v>
      </c>
      <c r="J341" s="530">
        <v>338.19714085343975</v>
      </c>
      <c r="K341" s="530">
        <v>220.90163141437526</v>
      </c>
      <c r="L341" s="530">
        <v>229.70019228725829</v>
      </c>
      <c r="M341" s="530">
        <v>277.15111088902358</v>
      </c>
      <c r="N341" s="530">
        <v>317.54463530577704</v>
      </c>
      <c r="O341" s="530">
        <v>343.01838850797145</v>
      </c>
      <c r="P341" s="530">
        <v>253.15827876433121</v>
      </c>
      <c r="Q341" s="530">
        <v>217.01610252422543</v>
      </c>
      <c r="R341" s="530">
        <v>213.98323043890983</v>
      </c>
      <c r="S341" s="530">
        <v>131.21894860614208</v>
      </c>
      <c r="T341" s="530">
        <v>2825.3469031857512</v>
      </c>
      <c r="U341" s="530" t="s">
        <v>61</v>
      </c>
    </row>
    <row r="342" spans="1:21" ht="13.8" x14ac:dyDescent="0.3">
      <c r="A342" s="530" t="str">
        <f t="shared" si="10"/>
        <v>Gwynedd.2017.Visitor Numbers.SFR</v>
      </c>
      <c r="B342" s="530" t="s">
        <v>219</v>
      </c>
      <c r="C342" s="530" t="str">
        <f t="shared" si="11"/>
        <v>2017.Visitor Numbers.SFR</v>
      </c>
      <c r="D342" s="530" t="s">
        <v>236</v>
      </c>
      <c r="E342" s="530" t="s">
        <v>172</v>
      </c>
      <c r="F342" s="530" t="s">
        <v>18</v>
      </c>
      <c r="G342" s="530" t="s">
        <v>18</v>
      </c>
      <c r="H342" s="530">
        <v>25.287340909090908</v>
      </c>
      <c r="I342" s="530">
        <v>10.114936363636362</v>
      </c>
      <c r="J342" s="530">
        <v>11.238818181818182</v>
      </c>
      <c r="K342" s="530">
        <v>21.353754545454542</v>
      </c>
      <c r="L342" s="530">
        <v>16.85822727272727</v>
      </c>
      <c r="M342" s="530">
        <v>13.604589409090909</v>
      </c>
      <c r="N342" s="530">
        <v>18.544049999999999</v>
      </c>
      <c r="O342" s="530">
        <v>18.875595136363636</v>
      </c>
      <c r="P342" s="530">
        <v>11.649035045454545</v>
      </c>
      <c r="Q342" s="530">
        <v>11.800759090909089</v>
      </c>
      <c r="R342" s="530">
        <v>9.6934806818181816</v>
      </c>
      <c r="S342" s="530">
        <v>21.915695454545453</v>
      </c>
      <c r="T342" s="530">
        <v>190.93628209090906</v>
      </c>
      <c r="U342" s="530" t="s">
        <v>61</v>
      </c>
    </row>
    <row r="343" spans="1:21" ht="13.8" x14ac:dyDescent="0.3">
      <c r="A343" s="530" t="str">
        <f t="shared" si="10"/>
        <v>Gwynedd.2017.Visitor Numbers.Day Visitor</v>
      </c>
      <c r="B343" s="530" t="s">
        <v>219</v>
      </c>
      <c r="C343" s="530" t="str">
        <f t="shared" si="11"/>
        <v>2017.Visitor Numbers.Day Visitor</v>
      </c>
      <c r="D343" s="530" t="s">
        <v>236</v>
      </c>
      <c r="E343" s="530" t="s">
        <v>172</v>
      </c>
      <c r="F343" s="530" t="s">
        <v>71</v>
      </c>
      <c r="G343" s="530" t="s">
        <v>71</v>
      </c>
      <c r="H343" s="530">
        <v>43.884445257524433</v>
      </c>
      <c r="I343" s="530">
        <v>105.89381569513131</v>
      </c>
      <c r="J343" s="530">
        <v>266.02308738619183</v>
      </c>
      <c r="K343" s="530">
        <v>526.80581576682778</v>
      </c>
      <c r="L343" s="530">
        <v>407.7151738043803</v>
      </c>
      <c r="M343" s="530">
        <v>561.62077163251865</v>
      </c>
      <c r="N343" s="530">
        <v>486.92149126056302</v>
      </c>
      <c r="O343" s="530">
        <v>665.05028491417363</v>
      </c>
      <c r="P343" s="530">
        <v>292.07526716299446</v>
      </c>
      <c r="Q343" s="530">
        <v>249.18082763539365</v>
      </c>
      <c r="R343" s="530">
        <v>82.306209967875205</v>
      </c>
      <c r="S343" s="530">
        <v>60.867948818907038</v>
      </c>
      <c r="T343" s="530">
        <v>3748.3451393024807</v>
      </c>
      <c r="U343" s="530" t="s">
        <v>61</v>
      </c>
    </row>
    <row r="344" spans="1:21" ht="13.8" x14ac:dyDescent="0.3">
      <c r="A344" s="530" t="str">
        <f t="shared" si="10"/>
        <v>Gwynedd.2017.Visitor Numbers.Total</v>
      </c>
      <c r="B344" s="530" t="s">
        <v>219</v>
      </c>
      <c r="C344" s="530" t="str">
        <f t="shared" si="11"/>
        <v>2017.Visitor Numbers.Total</v>
      </c>
      <c r="D344" s="530" t="s">
        <v>236</v>
      </c>
      <c r="E344" s="530" t="s">
        <v>172</v>
      </c>
      <c r="F344" s="530" t="s">
        <v>54</v>
      </c>
      <c r="G344" s="530" t="s">
        <v>54</v>
      </c>
      <c r="H344" s="530">
        <v>218.0622217875304</v>
      </c>
      <c r="I344" s="530">
        <v>297.95366145756691</v>
      </c>
      <c r="J344" s="530">
        <v>649.44996778964901</v>
      </c>
      <c r="K344" s="530">
        <v>823.21905186023378</v>
      </c>
      <c r="L344" s="530">
        <v>710.48050284777253</v>
      </c>
      <c r="M344" s="530">
        <v>917.38863181757256</v>
      </c>
      <c r="N344" s="530">
        <v>902.60756657059153</v>
      </c>
      <c r="O344" s="530">
        <v>1111.9505765233712</v>
      </c>
      <c r="P344" s="530">
        <v>618.7216310329585</v>
      </c>
      <c r="Q344" s="530">
        <v>529.76689891416549</v>
      </c>
      <c r="R344" s="530">
        <v>331.4823955860366</v>
      </c>
      <c r="S344" s="530">
        <v>244.82843443020903</v>
      </c>
      <c r="T344" s="530">
        <v>7355.911540617657</v>
      </c>
      <c r="U344" s="530" t="s">
        <v>61</v>
      </c>
    </row>
    <row r="345" spans="1:21" ht="13.8" x14ac:dyDescent="0.3">
      <c r="A345" s="530" t="str">
        <f t="shared" si="10"/>
        <v>Gwynedd.2017.Vehicle Days.Serviced Accommodation</v>
      </c>
      <c r="B345" s="530" t="s">
        <v>219</v>
      </c>
      <c r="C345" s="530" t="str">
        <f t="shared" si="11"/>
        <v>2017.Vehicle Days.Serviced Accommodation</v>
      </c>
      <c r="D345" s="530" t="s">
        <v>236</v>
      </c>
      <c r="E345" s="530" t="s">
        <v>21</v>
      </c>
      <c r="F345" s="530" t="s">
        <v>43</v>
      </c>
      <c r="G345" s="530" t="s">
        <v>43</v>
      </c>
      <c r="H345" s="530">
        <v>6.5528638388050746</v>
      </c>
      <c r="I345" s="530">
        <v>16.210746804398649</v>
      </c>
      <c r="J345" s="530">
        <v>24.806118439490533</v>
      </c>
      <c r="K345" s="530">
        <v>25.362048659827096</v>
      </c>
      <c r="L345" s="530">
        <v>29.456211175295429</v>
      </c>
      <c r="M345" s="530">
        <v>31.623381996160205</v>
      </c>
      <c r="N345" s="530">
        <v>34.852255672680798</v>
      </c>
      <c r="O345" s="530">
        <v>37.636617818509201</v>
      </c>
      <c r="P345" s="530">
        <v>30.918501389542453</v>
      </c>
      <c r="Q345" s="530">
        <v>25.464548497488956</v>
      </c>
      <c r="R345" s="530">
        <v>12.52039373514166</v>
      </c>
      <c r="S345" s="530">
        <v>13.327950637523237</v>
      </c>
      <c r="T345" s="530">
        <v>288.73163866486334</v>
      </c>
      <c r="U345" s="530" t="s">
        <v>61</v>
      </c>
    </row>
    <row r="346" spans="1:21" ht="13.8" x14ac:dyDescent="0.3">
      <c r="A346" s="530" t="str">
        <f t="shared" si="10"/>
        <v>Gwynedd.2017.Vehicle Days.Non-Serviced Accommodation</v>
      </c>
      <c r="B346" s="530" t="s">
        <v>219</v>
      </c>
      <c r="C346" s="530" t="str">
        <f t="shared" si="11"/>
        <v>2017.Vehicle Days.Non-Serviced Accommodation</v>
      </c>
      <c r="D346" s="530" t="s">
        <v>236</v>
      </c>
      <c r="E346" s="530" t="s">
        <v>21</v>
      </c>
      <c r="F346" s="530" t="s">
        <v>48</v>
      </c>
      <c r="G346" s="530" t="s">
        <v>48</v>
      </c>
      <c r="H346" s="530">
        <v>116.04306532150257</v>
      </c>
      <c r="I346" s="530">
        <v>177.21307106464579</v>
      </c>
      <c r="J346" s="530">
        <v>451.86934320417379</v>
      </c>
      <c r="K346" s="530">
        <v>361.93576050798953</v>
      </c>
      <c r="L346" s="530">
        <v>416.94881681459259</v>
      </c>
      <c r="M346" s="530">
        <v>521.4895197198199</v>
      </c>
      <c r="N346" s="530">
        <v>575.83600123721919</v>
      </c>
      <c r="O346" s="530">
        <v>663.15971809304074</v>
      </c>
      <c r="P346" s="530">
        <v>457.65902082309873</v>
      </c>
      <c r="Q346" s="530">
        <v>386.38199815408473</v>
      </c>
      <c r="R346" s="530">
        <v>258.90617192431597</v>
      </c>
      <c r="S346" s="530">
        <v>181.80201045770912</v>
      </c>
      <c r="T346" s="530">
        <v>4569.2444973221927</v>
      </c>
      <c r="U346" s="530" t="s">
        <v>61</v>
      </c>
    </row>
    <row r="347" spans="1:21" ht="13.8" x14ac:dyDescent="0.3">
      <c r="A347" s="530" t="str">
        <f t="shared" si="10"/>
        <v>Gwynedd.2017.Vehicle Days.SFR</v>
      </c>
      <c r="B347" s="530" t="s">
        <v>219</v>
      </c>
      <c r="C347" s="530" t="str">
        <f t="shared" si="11"/>
        <v>2017.Vehicle Days.SFR</v>
      </c>
      <c r="D347" s="530" t="s">
        <v>236</v>
      </c>
      <c r="E347" s="530" t="s">
        <v>21</v>
      </c>
      <c r="F347" s="530" t="s">
        <v>18</v>
      </c>
      <c r="G347" s="530" t="s">
        <v>18</v>
      </c>
      <c r="H347" s="530">
        <v>19.808417045454547</v>
      </c>
      <c r="I347" s="530">
        <v>6.6556281272727258</v>
      </c>
      <c r="J347" s="530">
        <v>7.5712171818181808</v>
      </c>
      <c r="K347" s="530">
        <v>18.065276345454542</v>
      </c>
      <c r="L347" s="530">
        <v>11.620937999999997</v>
      </c>
      <c r="M347" s="530">
        <v>8.9518198311818171</v>
      </c>
      <c r="N347" s="530">
        <v>14.526172499999999</v>
      </c>
      <c r="O347" s="530">
        <v>15.377318171090909</v>
      </c>
      <c r="P347" s="530">
        <v>7.9205672285727262</v>
      </c>
      <c r="Q347" s="530">
        <v>7.9128023290909075</v>
      </c>
      <c r="R347" s="530">
        <v>6.1656999456818165</v>
      </c>
      <c r="S347" s="530">
        <v>17.853986563636361</v>
      </c>
      <c r="T347" s="530">
        <v>142.42984326925452</v>
      </c>
      <c r="U347" s="530" t="s">
        <v>61</v>
      </c>
    </row>
    <row r="348" spans="1:21" ht="13.8" x14ac:dyDescent="0.3">
      <c r="A348" s="530" t="str">
        <f t="shared" si="10"/>
        <v>Gwynedd.2017.Vehicle Days.Day Visitor</v>
      </c>
      <c r="B348" s="530" t="s">
        <v>219</v>
      </c>
      <c r="C348" s="530" t="str">
        <f t="shared" si="11"/>
        <v>2017.Vehicle Days.Day Visitor</v>
      </c>
      <c r="D348" s="530" t="s">
        <v>236</v>
      </c>
      <c r="E348" s="530" t="s">
        <v>21</v>
      </c>
      <c r="F348" s="530" t="s">
        <v>71</v>
      </c>
      <c r="G348" s="530" t="s">
        <v>71</v>
      </c>
      <c r="H348" s="530">
        <v>9.6545779566553751</v>
      </c>
      <c r="I348" s="530">
        <v>26.624730803347301</v>
      </c>
      <c r="J348" s="530">
        <v>66.885804828528222</v>
      </c>
      <c r="K348" s="530">
        <v>115.89727946870211</v>
      </c>
      <c r="L348" s="530">
        <v>89.69733823696366</v>
      </c>
      <c r="M348" s="530">
        <v>141.20750829617612</v>
      </c>
      <c r="N348" s="530">
        <v>107.12272807732387</v>
      </c>
      <c r="O348" s="530">
        <v>146.31106268111819</v>
      </c>
      <c r="P348" s="530">
        <v>64.256558775858778</v>
      </c>
      <c r="Q348" s="530">
        <v>62.65117951975612</v>
      </c>
      <c r="R348" s="530">
        <v>20.694132791922907</v>
      </c>
      <c r="S348" s="530">
        <v>13.390948740159548</v>
      </c>
      <c r="T348" s="530">
        <v>864.39385017651227</v>
      </c>
      <c r="U348" s="530" t="s">
        <v>61</v>
      </c>
    </row>
    <row r="349" spans="1:21" ht="13.8" x14ac:dyDescent="0.3">
      <c r="A349" s="530" t="str">
        <f t="shared" si="10"/>
        <v>Gwynedd.2017.Vehicle Days.Total</v>
      </c>
      <c r="B349" s="530" t="s">
        <v>219</v>
      </c>
      <c r="C349" s="530" t="str">
        <f t="shared" si="11"/>
        <v>2017.Vehicle Days.Total</v>
      </c>
      <c r="D349" s="530" t="s">
        <v>236</v>
      </c>
      <c r="E349" s="530" t="s">
        <v>21</v>
      </c>
      <c r="F349" s="530" t="s">
        <v>54</v>
      </c>
      <c r="G349" s="530" t="s">
        <v>54</v>
      </c>
      <c r="H349" s="530">
        <v>152.05892416241755</v>
      </c>
      <c r="I349" s="530">
        <v>226.70417679966445</v>
      </c>
      <c r="J349" s="530">
        <v>551.13248365401068</v>
      </c>
      <c r="K349" s="530">
        <v>521.26036498197334</v>
      </c>
      <c r="L349" s="530">
        <v>547.72330422685172</v>
      </c>
      <c r="M349" s="530">
        <v>703.2722298433381</v>
      </c>
      <c r="N349" s="530">
        <v>732.33715748722398</v>
      </c>
      <c r="O349" s="530">
        <v>862.48471676375902</v>
      </c>
      <c r="P349" s="530">
        <v>560.75464821707271</v>
      </c>
      <c r="Q349" s="530">
        <v>482.4105285004207</v>
      </c>
      <c r="R349" s="530">
        <v>298.28639839706238</v>
      </c>
      <c r="S349" s="530">
        <v>226.37489639902827</v>
      </c>
      <c r="T349" s="530">
        <v>5864.7998294328236</v>
      </c>
      <c r="U349" s="530" t="s">
        <v>61</v>
      </c>
    </row>
    <row r="350" spans="1:21" ht="13.8" x14ac:dyDescent="0.3">
      <c r="A350" s="530" t="str">
        <f t="shared" si="10"/>
        <v>Gwynedd.2017.Vehicle Numbers.Serviced Accommodation</v>
      </c>
      <c r="B350" s="530" t="s">
        <v>219</v>
      </c>
      <c r="C350" s="530" t="str">
        <f t="shared" si="11"/>
        <v>2017.Vehicle Numbers.Serviced Accommodation</v>
      </c>
      <c r="D350" s="530" t="s">
        <v>236</v>
      </c>
      <c r="E350" s="530" t="s">
        <v>22</v>
      </c>
      <c r="F350" s="530" t="s">
        <v>43</v>
      </c>
      <c r="G350" s="530" t="s">
        <v>43</v>
      </c>
      <c r="H350" s="530">
        <v>4.1351011541368772</v>
      </c>
      <c r="I350" s="530">
        <v>10.64864738419236</v>
      </c>
      <c r="J350" s="530">
        <v>12.133143728930218</v>
      </c>
      <c r="K350" s="530">
        <v>14.011157333237275</v>
      </c>
      <c r="L350" s="530">
        <v>15.752423837596222</v>
      </c>
      <c r="M350" s="530">
        <v>17.940903074777808</v>
      </c>
      <c r="N350" s="530">
        <v>20.589816149585218</v>
      </c>
      <c r="O350" s="530">
        <v>21.99062504075161</v>
      </c>
      <c r="P350" s="530">
        <v>15.996777517138892</v>
      </c>
      <c r="Q350" s="530">
        <v>14.60438102727209</v>
      </c>
      <c r="R350" s="530">
        <v>7.3264494971886522</v>
      </c>
      <c r="S350" s="530">
        <v>7.9719295494284257</v>
      </c>
      <c r="T350" s="530">
        <v>163.10135529423567</v>
      </c>
      <c r="U350" s="530" t="s">
        <v>61</v>
      </c>
    </row>
    <row r="351" spans="1:21" ht="13.8" x14ac:dyDescent="0.3">
      <c r="A351" s="530" t="str">
        <f t="shared" si="10"/>
        <v>Gwynedd.2017.Vehicle Numbers.Non-Serviced Accommodation</v>
      </c>
      <c r="B351" s="530" t="s">
        <v>219</v>
      </c>
      <c r="C351" s="530" t="str">
        <f t="shared" si="11"/>
        <v>2017.Vehicle Numbers.Non-Serviced Accommodation</v>
      </c>
      <c r="D351" s="530" t="s">
        <v>236</v>
      </c>
      <c r="E351" s="530" t="s">
        <v>22</v>
      </c>
      <c r="F351" s="530" t="s">
        <v>48</v>
      </c>
      <c r="G351" s="530" t="s">
        <v>48</v>
      </c>
      <c r="H351" s="530">
        <v>34.125882436067336</v>
      </c>
      <c r="I351" s="530">
        <v>44.345501860071877</v>
      </c>
      <c r="J351" s="530">
        <v>94.364279535580948</v>
      </c>
      <c r="K351" s="530">
        <v>57.062500180071751</v>
      </c>
      <c r="L351" s="530">
        <v>61.021987572187328</v>
      </c>
      <c r="M351" s="530">
        <v>75.574717235965451</v>
      </c>
      <c r="N351" s="530">
        <v>81.95723541230231</v>
      </c>
      <c r="O351" s="530">
        <v>88.309156156710685</v>
      </c>
      <c r="P351" s="530">
        <v>67.815841054042252</v>
      </c>
      <c r="Q351" s="530">
        <v>56.735106485962703</v>
      </c>
      <c r="R351" s="530">
        <v>58.14418271565377</v>
      </c>
      <c r="S351" s="530">
        <v>33.134029064684938</v>
      </c>
      <c r="T351" s="530">
        <v>752.59041970930127</v>
      </c>
      <c r="U351" s="530" t="s">
        <v>61</v>
      </c>
    </row>
    <row r="352" spans="1:21" ht="13.8" x14ac:dyDescent="0.3">
      <c r="A352" s="530" t="str">
        <f t="shared" si="10"/>
        <v>Gwynedd.2017.Vehicle Numbers.SFR</v>
      </c>
      <c r="B352" s="530" t="s">
        <v>219</v>
      </c>
      <c r="C352" s="530" t="str">
        <f t="shared" si="11"/>
        <v>2017.Vehicle Numbers.SFR</v>
      </c>
      <c r="D352" s="530" t="s">
        <v>236</v>
      </c>
      <c r="E352" s="530" t="s">
        <v>22</v>
      </c>
      <c r="F352" s="530" t="s">
        <v>18</v>
      </c>
      <c r="G352" s="530" t="s">
        <v>18</v>
      </c>
      <c r="H352" s="530">
        <v>7.923366818181818</v>
      </c>
      <c r="I352" s="530">
        <v>3.1693467272727269</v>
      </c>
      <c r="J352" s="530">
        <v>3.5214963636363632</v>
      </c>
      <c r="K352" s="530">
        <v>6.6908430909090892</v>
      </c>
      <c r="L352" s="530">
        <v>5.2822445454545441</v>
      </c>
      <c r="M352" s="530">
        <v>4.2627713481818184</v>
      </c>
      <c r="N352" s="530">
        <v>5.8104689999999986</v>
      </c>
      <c r="O352" s="530">
        <v>5.9143531427272729</v>
      </c>
      <c r="P352" s="530">
        <v>3.6500309809090905</v>
      </c>
      <c r="Q352" s="530">
        <v>3.6975711818181813</v>
      </c>
      <c r="R352" s="530">
        <v>3.0372906136363635</v>
      </c>
      <c r="S352" s="530">
        <v>6.8669179090909083</v>
      </c>
      <c r="T352" s="530">
        <v>59.826701721818182</v>
      </c>
      <c r="U352" s="530" t="s">
        <v>61</v>
      </c>
    </row>
    <row r="353" spans="1:21" ht="13.8" x14ac:dyDescent="0.3">
      <c r="A353" s="530" t="str">
        <f t="shared" si="10"/>
        <v>Gwynedd.2017.Vehicle Numbers.Day Visitor</v>
      </c>
      <c r="B353" s="530" t="s">
        <v>219</v>
      </c>
      <c r="C353" s="530" t="str">
        <f t="shared" si="11"/>
        <v>2017.Vehicle Numbers.Day Visitor</v>
      </c>
      <c r="D353" s="530" t="s">
        <v>236</v>
      </c>
      <c r="E353" s="530" t="s">
        <v>22</v>
      </c>
      <c r="F353" s="530" t="s">
        <v>71</v>
      </c>
      <c r="G353" s="530" t="s">
        <v>71</v>
      </c>
      <c r="H353" s="530">
        <v>9.6545779566553751</v>
      </c>
      <c r="I353" s="530">
        <v>26.624730803347301</v>
      </c>
      <c r="J353" s="530">
        <v>66.885804828528222</v>
      </c>
      <c r="K353" s="530">
        <v>115.89727946870211</v>
      </c>
      <c r="L353" s="530">
        <v>89.69733823696366</v>
      </c>
      <c r="M353" s="530">
        <v>141.20750829617612</v>
      </c>
      <c r="N353" s="530">
        <v>107.12272807732387</v>
      </c>
      <c r="O353" s="530">
        <v>146.31106268111819</v>
      </c>
      <c r="P353" s="530">
        <v>64.256558775858778</v>
      </c>
      <c r="Q353" s="530">
        <v>62.65117951975612</v>
      </c>
      <c r="R353" s="530">
        <v>20.694132791922907</v>
      </c>
      <c r="S353" s="530">
        <v>13.390948740159548</v>
      </c>
      <c r="T353" s="530">
        <v>864.39385017651227</v>
      </c>
      <c r="U353" s="530" t="s">
        <v>61</v>
      </c>
    </row>
    <row r="354" spans="1:21" ht="13.8" x14ac:dyDescent="0.3">
      <c r="A354" s="530" t="str">
        <f t="shared" si="10"/>
        <v>Gwynedd.2017.Vehicle Numbers.Total</v>
      </c>
      <c r="B354" s="530" t="s">
        <v>219</v>
      </c>
      <c r="C354" s="530" t="str">
        <f t="shared" si="11"/>
        <v>2017.Vehicle Numbers.Total</v>
      </c>
      <c r="D354" s="530" t="s">
        <v>236</v>
      </c>
      <c r="E354" s="530" t="s">
        <v>22</v>
      </c>
      <c r="F354" s="530" t="s">
        <v>54</v>
      </c>
      <c r="G354" s="530" t="s">
        <v>54</v>
      </c>
      <c r="H354" s="530">
        <v>55.838928365041404</v>
      </c>
      <c r="I354" s="530">
        <v>84.788226774884265</v>
      </c>
      <c r="J354" s="530">
        <v>176.90472445667575</v>
      </c>
      <c r="K354" s="530">
        <v>193.66178007292024</v>
      </c>
      <c r="L354" s="530">
        <v>171.75399419220176</v>
      </c>
      <c r="M354" s="530">
        <v>238.98589995510119</v>
      </c>
      <c r="N354" s="530">
        <v>215.4802486392114</v>
      </c>
      <c r="O354" s="530">
        <v>262.52519702130775</v>
      </c>
      <c r="P354" s="530">
        <v>151.71920832794902</v>
      </c>
      <c r="Q354" s="530">
        <v>137.68823821480908</v>
      </c>
      <c r="R354" s="530">
        <v>89.202055618401687</v>
      </c>
      <c r="S354" s="530">
        <v>61.363825263363822</v>
      </c>
      <c r="T354" s="530">
        <v>1839.9123269018676</v>
      </c>
      <c r="U354" s="530" t="s">
        <v>61</v>
      </c>
    </row>
    <row r="355" spans="1:21" ht="13.8" x14ac:dyDescent="0.3">
      <c r="A355" s="530" t="str">
        <f t="shared" si="10"/>
        <v>Gwynedd.2017.Accommodation.Serviced Accommodation</v>
      </c>
      <c r="B355" s="530" t="s">
        <v>219</v>
      </c>
      <c r="C355" s="530" t="str">
        <f t="shared" si="11"/>
        <v>2017.Accommodation.Serviced Accommodation</v>
      </c>
      <c r="D355" s="530" t="s">
        <v>236</v>
      </c>
      <c r="E355" s="530" t="s">
        <v>23</v>
      </c>
      <c r="F355" s="530" t="s">
        <v>43</v>
      </c>
      <c r="G355" s="530" t="s">
        <v>43</v>
      </c>
      <c r="H355" s="530">
        <v>5534</v>
      </c>
      <c r="I355" s="530">
        <v>5706</v>
      </c>
      <c r="J355" s="530">
        <v>6056</v>
      </c>
      <c r="K355" s="530">
        <v>6178</v>
      </c>
      <c r="L355" s="530">
        <v>6185</v>
      </c>
      <c r="M355" s="530">
        <v>6185</v>
      </c>
      <c r="N355" s="530">
        <v>6185</v>
      </c>
      <c r="O355" s="530">
        <v>6185</v>
      </c>
      <c r="P355" s="530">
        <v>6181</v>
      </c>
      <c r="Q355" s="530">
        <v>6145</v>
      </c>
      <c r="R355" s="530">
        <v>5846</v>
      </c>
      <c r="S355" s="530">
        <v>5742</v>
      </c>
      <c r="T355" s="530">
        <v>6185</v>
      </c>
      <c r="U355" s="530" t="s">
        <v>58</v>
      </c>
    </row>
    <row r="356" spans="1:21" ht="13.8" x14ac:dyDescent="0.3">
      <c r="A356" s="530" t="str">
        <f t="shared" si="10"/>
        <v>Gwynedd.2017.Accommodation.Non-Serviced Accommodation</v>
      </c>
      <c r="B356" s="530" t="s">
        <v>219</v>
      </c>
      <c r="C356" s="530" t="str">
        <f t="shared" si="11"/>
        <v>2017.Accommodation.Non-Serviced Accommodation</v>
      </c>
      <c r="D356" s="530" t="s">
        <v>236</v>
      </c>
      <c r="E356" s="530" t="s">
        <v>23</v>
      </c>
      <c r="F356" s="530" t="s">
        <v>48</v>
      </c>
      <c r="G356" s="530" t="s">
        <v>48</v>
      </c>
      <c r="H356" s="530">
        <v>45037.478238675511</v>
      </c>
      <c r="I356" s="530">
        <v>45429.16123706723</v>
      </c>
      <c r="J356" s="530">
        <v>88253.826417015414</v>
      </c>
      <c r="K356" s="530">
        <v>98905.921288627709</v>
      </c>
      <c r="L356" s="530">
        <v>99190.130323771664</v>
      </c>
      <c r="M356" s="530">
        <v>99809.355961015492</v>
      </c>
      <c r="N356" s="530">
        <v>99885.555435396062</v>
      </c>
      <c r="O356" s="530">
        <v>100012.08835914193</v>
      </c>
      <c r="P356" s="530">
        <v>100446.28612496943</v>
      </c>
      <c r="Q356" s="530">
        <v>99124.151510366893</v>
      </c>
      <c r="R356" s="530">
        <v>66493.257775921898</v>
      </c>
      <c r="S356" s="530">
        <v>59032.785324786557</v>
      </c>
      <c r="T356" s="530">
        <v>100446.28612496943</v>
      </c>
      <c r="U356" s="530" t="s">
        <v>58</v>
      </c>
    </row>
    <row r="357" spans="1:21" ht="13.8" x14ac:dyDescent="0.3">
      <c r="A357" s="530" t="str">
        <f t="shared" si="10"/>
        <v>Gwynedd.2017.Accommodation.Total</v>
      </c>
      <c r="B357" s="530" t="s">
        <v>219</v>
      </c>
      <c r="C357" s="530" t="str">
        <f t="shared" si="11"/>
        <v>2017.Accommodation.Total</v>
      </c>
      <c r="D357" s="530" t="s">
        <v>236</v>
      </c>
      <c r="E357" s="530" t="s">
        <v>23</v>
      </c>
      <c r="F357" s="530" t="s">
        <v>54</v>
      </c>
      <c r="G357" s="530" t="s">
        <v>54</v>
      </c>
      <c r="H357" s="530">
        <v>50571.478238675511</v>
      </c>
      <c r="I357" s="530">
        <v>51135.16123706723</v>
      </c>
      <c r="J357" s="530">
        <v>94309.826417015414</v>
      </c>
      <c r="K357" s="530">
        <v>105083.92128862771</v>
      </c>
      <c r="L357" s="530">
        <v>105375.13032377166</v>
      </c>
      <c r="M357" s="530">
        <v>105994.35596101549</v>
      </c>
      <c r="N357" s="530">
        <v>106070.55543539606</v>
      </c>
      <c r="O357" s="530">
        <v>106197.08835914193</v>
      </c>
      <c r="P357" s="530">
        <v>106627.28612496943</v>
      </c>
      <c r="Q357" s="530">
        <v>105269.15151036689</v>
      </c>
      <c r="R357" s="530">
        <v>72339.257775921898</v>
      </c>
      <c r="S357" s="530">
        <v>64774.785324786557</v>
      </c>
      <c r="T357" s="530">
        <v>106627.28612496943</v>
      </c>
      <c r="U357" s="530" t="s">
        <v>58</v>
      </c>
    </row>
    <row r="358" spans="1:21" ht="13.8" x14ac:dyDescent="0.3">
      <c r="A358" s="530" t="str">
        <f t="shared" si="10"/>
        <v>Gwynedd.2017.Economic Impact.Total</v>
      </c>
      <c r="B358" s="530" t="s">
        <v>219</v>
      </c>
      <c r="C358" s="530" t="str">
        <f t="shared" si="11"/>
        <v>2017.Economic Impact.Total</v>
      </c>
      <c r="D358" s="530" t="s">
        <v>236</v>
      </c>
      <c r="E358" s="530" t="s">
        <v>17</v>
      </c>
      <c r="F358" s="530" t="s">
        <v>54</v>
      </c>
      <c r="G358" s="530" t="s">
        <v>54</v>
      </c>
      <c r="H358" s="530">
        <v>26656.045818301351</v>
      </c>
      <c r="I358" s="530">
        <v>38661.594088584956</v>
      </c>
      <c r="J358" s="530">
        <v>93457.615320934943</v>
      </c>
      <c r="K358" s="530">
        <v>95439.694502946571</v>
      </c>
      <c r="L358" s="530">
        <v>94671.330908149306</v>
      </c>
      <c r="M358" s="530">
        <v>121418.85245740614</v>
      </c>
      <c r="N358" s="530">
        <v>143126.50073079509</v>
      </c>
      <c r="O358" s="530">
        <v>172235.57853836782</v>
      </c>
      <c r="P358" s="530">
        <v>113323.35606331244</v>
      </c>
      <c r="Q358" s="530">
        <v>85066.16030550393</v>
      </c>
      <c r="R358" s="530">
        <v>52057.71292995596</v>
      </c>
      <c r="S358" s="530">
        <v>43337.535259245939</v>
      </c>
      <c r="T358" s="530">
        <v>1079451.9769235044</v>
      </c>
      <c r="U358" s="530" t="s">
        <v>57</v>
      </c>
    </row>
    <row r="359" spans="1:21" ht="13.8" x14ac:dyDescent="0.3">
      <c r="A359" s="530" t="str">
        <f t="shared" si="10"/>
        <v>Gwynedd.2018.Economic Impact.Indirect Expenditure</v>
      </c>
      <c r="B359" s="530" t="s">
        <v>219</v>
      </c>
      <c r="C359" s="530" t="str">
        <f t="shared" si="11"/>
        <v>2018.Economic Impact.Indirect Expenditure</v>
      </c>
      <c r="D359" s="530" t="s">
        <v>238</v>
      </c>
      <c r="E359" s="530" t="s">
        <v>17</v>
      </c>
      <c r="F359" s="530" t="s">
        <v>45</v>
      </c>
      <c r="G359" s="530" t="s">
        <v>45</v>
      </c>
      <c r="H359" s="530">
        <v>8763.1620750158818</v>
      </c>
      <c r="I359" s="530">
        <v>10790.182380297338</v>
      </c>
      <c r="J359" s="530">
        <v>26327.719303523678</v>
      </c>
      <c r="K359" s="530">
        <v>24938.41024335226</v>
      </c>
      <c r="L359" s="530">
        <v>29991.485039167601</v>
      </c>
      <c r="M359" s="530">
        <v>35990.651505413436</v>
      </c>
      <c r="N359" s="530">
        <v>42402.51023680286</v>
      </c>
      <c r="O359" s="530">
        <v>50709.298467681547</v>
      </c>
      <c r="P359" s="530">
        <v>34181.338323553449</v>
      </c>
      <c r="Q359" s="530">
        <v>26655.66016739206</v>
      </c>
      <c r="R359" s="530">
        <v>15253.091534215484</v>
      </c>
      <c r="S359" s="530">
        <v>9815.3387983432676</v>
      </c>
      <c r="T359" s="530">
        <v>315818.84807475889</v>
      </c>
      <c r="U359" s="530" t="s">
        <v>57</v>
      </c>
    </row>
    <row r="360" spans="1:21" ht="13.8" x14ac:dyDescent="0.3">
      <c r="A360" s="530" t="str">
        <f t="shared" si="10"/>
        <v>Gwynedd.2018.Economic Impact.Direct Revenue</v>
      </c>
      <c r="B360" s="530" t="s">
        <v>219</v>
      </c>
      <c r="C360" s="530" t="str">
        <f t="shared" si="11"/>
        <v>2018.Economic Impact.Direct Revenue</v>
      </c>
      <c r="D360" s="530" t="s">
        <v>238</v>
      </c>
      <c r="E360" s="530" t="s">
        <v>17</v>
      </c>
      <c r="F360" s="530" t="s">
        <v>46</v>
      </c>
      <c r="G360" s="530" t="s">
        <v>46</v>
      </c>
      <c r="H360" s="530">
        <v>19683.887431249972</v>
      </c>
      <c r="I360" s="530">
        <v>24538.78057865228</v>
      </c>
      <c r="J360" s="530">
        <v>63093.554943956493</v>
      </c>
      <c r="K360" s="530">
        <v>58427.942934813727</v>
      </c>
      <c r="L360" s="530">
        <v>70826.538714780851</v>
      </c>
      <c r="M360" s="530">
        <v>85602.707215998234</v>
      </c>
      <c r="N360" s="530">
        <v>100047.63719161856</v>
      </c>
      <c r="O360" s="530">
        <v>118940.43891626895</v>
      </c>
      <c r="P360" s="530">
        <v>79339.350791210542</v>
      </c>
      <c r="Q360" s="530">
        <v>61377.829240217048</v>
      </c>
      <c r="R360" s="530">
        <v>34304.298007529076</v>
      </c>
      <c r="S360" s="530">
        <v>22745.045989802835</v>
      </c>
      <c r="T360" s="530">
        <v>738928.01195609861</v>
      </c>
      <c r="U360" s="530" t="s">
        <v>57</v>
      </c>
    </row>
    <row r="361" spans="1:21" ht="13.8" x14ac:dyDescent="0.3">
      <c r="A361" s="530" t="str">
        <f t="shared" si="10"/>
        <v>Gwynedd.2018.Economic Impact.VAT</v>
      </c>
      <c r="B361" s="530" t="s">
        <v>219</v>
      </c>
      <c r="C361" s="530" t="str">
        <f t="shared" si="11"/>
        <v>2018.Economic Impact.VAT</v>
      </c>
      <c r="D361" s="530" t="s">
        <v>238</v>
      </c>
      <c r="E361" s="530" t="s">
        <v>17</v>
      </c>
      <c r="F361" s="530" t="s">
        <v>47</v>
      </c>
      <c r="G361" s="530" t="s">
        <v>47</v>
      </c>
      <c r="H361" s="530">
        <v>3936.7774862499937</v>
      </c>
      <c r="I361" s="530">
        <v>4907.7561157304563</v>
      </c>
      <c r="J361" s="530">
        <v>12618.710988791301</v>
      </c>
      <c r="K361" s="530">
        <v>11685.588586962747</v>
      </c>
      <c r="L361" s="530">
        <v>14165.307742956171</v>
      </c>
      <c r="M361" s="530">
        <v>17120.541443199651</v>
      </c>
      <c r="N361" s="530">
        <v>20009.527438323712</v>
      </c>
      <c r="O361" s="530">
        <v>23788.087783253792</v>
      </c>
      <c r="P361" s="530">
        <v>15867.870158242109</v>
      </c>
      <c r="Q361" s="530">
        <v>12275.56584804341</v>
      </c>
      <c r="R361" s="530">
        <v>6860.8596015058147</v>
      </c>
      <c r="S361" s="530">
        <v>4549.0091979605677</v>
      </c>
      <c r="T361" s="530">
        <v>147785.60239121976</v>
      </c>
      <c r="U361" s="530" t="s">
        <v>57</v>
      </c>
    </row>
    <row r="362" spans="1:21" ht="13.8" x14ac:dyDescent="0.3">
      <c r="A362" s="530" t="str">
        <f t="shared" si="10"/>
        <v>Gwynedd.2018.Economic Impact.Serviced Accommodation</v>
      </c>
      <c r="B362" s="530" t="s">
        <v>219</v>
      </c>
      <c r="C362" s="530" t="str">
        <f t="shared" si="11"/>
        <v>2018.Economic Impact.Serviced Accommodation</v>
      </c>
      <c r="D362" s="530" t="s">
        <v>238</v>
      </c>
      <c r="E362" s="530" t="s">
        <v>17</v>
      </c>
      <c r="F362" s="530" t="s">
        <v>43</v>
      </c>
      <c r="G362" s="530" t="s">
        <v>43</v>
      </c>
      <c r="H362" s="530">
        <v>3380.9913452920318</v>
      </c>
      <c r="I362" s="530">
        <v>5255.3455161631955</v>
      </c>
      <c r="J362" s="530">
        <v>7324.7352088014377</v>
      </c>
      <c r="K362" s="530">
        <v>7638.2078821233636</v>
      </c>
      <c r="L362" s="530">
        <v>10216.410743763498</v>
      </c>
      <c r="M362" s="530">
        <v>11260.431423610613</v>
      </c>
      <c r="N362" s="530">
        <v>16554.838974713275</v>
      </c>
      <c r="O362" s="530">
        <v>17555.958951234221</v>
      </c>
      <c r="P362" s="530">
        <v>14262.108876430941</v>
      </c>
      <c r="Q362" s="530">
        <v>7843.6542504338631</v>
      </c>
      <c r="R362" s="530">
        <v>3998.9114936050582</v>
      </c>
      <c r="S362" s="530">
        <v>3511.7711454362934</v>
      </c>
      <c r="T362" s="530">
        <v>108803.36581160779</v>
      </c>
      <c r="U362" s="530" t="s">
        <v>57</v>
      </c>
    </row>
    <row r="363" spans="1:21" ht="13.8" x14ac:dyDescent="0.3">
      <c r="A363" s="530" t="str">
        <f t="shared" si="10"/>
        <v>Gwynedd.2018.Economic Impact.Non-Serviced Accommodation</v>
      </c>
      <c r="B363" s="530" t="s">
        <v>219</v>
      </c>
      <c r="C363" s="530" t="str">
        <f t="shared" si="11"/>
        <v>2018.Economic Impact.Non-Serviced Accommodation</v>
      </c>
      <c r="D363" s="530" t="s">
        <v>238</v>
      </c>
      <c r="E363" s="530" t="s">
        <v>17</v>
      </c>
      <c r="F363" s="530" t="s">
        <v>48</v>
      </c>
      <c r="G363" s="530" t="s">
        <v>48</v>
      </c>
      <c r="H363" s="530">
        <v>25003.345301493402</v>
      </c>
      <c r="I363" s="530">
        <v>29511.028128990376</v>
      </c>
      <c r="J363" s="530">
        <v>80440.339722461285</v>
      </c>
      <c r="K363" s="530">
        <v>65439.31492635062</v>
      </c>
      <c r="L363" s="530">
        <v>82072.300165674751</v>
      </c>
      <c r="M363" s="530">
        <v>97628.846344150981</v>
      </c>
      <c r="N363" s="530">
        <v>120118.01914635889</v>
      </c>
      <c r="O363" s="530">
        <v>142052.90916801666</v>
      </c>
      <c r="P363" s="530">
        <v>99824.220825111552</v>
      </c>
      <c r="Q363" s="530">
        <v>78995.977744113916</v>
      </c>
      <c r="R363" s="530">
        <v>47693.041686941382</v>
      </c>
      <c r="S363" s="530">
        <v>28607.494718732942</v>
      </c>
      <c r="T363" s="530">
        <v>897386.83787839685</v>
      </c>
      <c r="U363" s="530" t="s">
        <v>57</v>
      </c>
    </row>
    <row r="364" spans="1:21" ht="13.8" x14ac:dyDescent="0.3">
      <c r="A364" s="530" t="str">
        <f t="shared" si="10"/>
        <v>Gwynedd.2018.Economic Impact.SFR</v>
      </c>
      <c r="B364" s="530" t="s">
        <v>219</v>
      </c>
      <c r="C364" s="530" t="str">
        <f t="shared" si="11"/>
        <v>2018.Economic Impact.SFR</v>
      </c>
      <c r="D364" s="530" t="s">
        <v>238</v>
      </c>
      <c r="E364" s="530" t="s">
        <v>17</v>
      </c>
      <c r="F364" s="530" t="s">
        <v>18</v>
      </c>
      <c r="G364" s="530" t="s">
        <v>18</v>
      </c>
      <c r="H364" s="530">
        <v>2162.6761334114403</v>
      </c>
      <c r="I364" s="530">
        <v>726.65918082624387</v>
      </c>
      <c r="J364" s="530">
        <v>826.62287765948361</v>
      </c>
      <c r="K364" s="530">
        <v>1972.360633671233</v>
      </c>
      <c r="L364" s="530">
        <v>1268.7699982680447</v>
      </c>
      <c r="M364" s="530">
        <v>977.35659821129798</v>
      </c>
      <c r="N364" s="530">
        <v>1585.962497835056</v>
      </c>
      <c r="O364" s="530">
        <v>1678.8902883142644</v>
      </c>
      <c r="P364" s="530">
        <v>864.76479513772063</v>
      </c>
      <c r="Q364" s="530">
        <v>863.91702609342326</v>
      </c>
      <c r="R364" s="530">
        <v>673.16899112653414</v>
      </c>
      <c r="S364" s="530">
        <v>1949.2920882481781</v>
      </c>
      <c r="T364" s="530">
        <v>15550.441108802919</v>
      </c>
      <c r="U364" s="530" t="s">
        <v>57</v>
      </c>
    </row>
    <row r="365" spans="1:21" ht="13.8" x14ac:dyDescent="0.3">
      <c r="A365" s="530" t="str">
        <f t="shared" si="10"/>
        <v>Gwynedd.2018.Economic Impact.Day Visitor</v>
      </c>
      <c r="B365" s="530" t="s">
        <v>219</v>
      </c>
      <c r="C365" s="530" t="str">
        <f t="shared" si="11"/>
        <v>2018.Economic Impact.Day Visitor</v>
      </c>
      <c r="D365" s="530" t="s">
        <v>238</v>
      </c>
      <c r="E365" s="530" t="s">
        <v>17</v>
      </c>
      <c r="F365" s="530" t="s">
        <v>71</v>
      </c>
      <c r="G365" s="530" t="s">
        <v>71</v>
      </c>
      <c r="H365" s="530">
        <v>1836.8142123189675</v>
      </c>
      <c r="I365" s="530">
        <v>4743.6862487002572</v>
      </c>
      <c r="J365" s="530">
        <v>13448.287427349273</v>
      </c>
      <c r="K365" s="530">
        <v>20002.05832298351</v>
      </c>
      <c r="L365" s="530">
        <v>21425.850589198344</v>
      </c>
      <c r="M365" s="530">
        <v>28847.265798638422</v>
      </c>
      <c r="N365" s="530">
        <v>24200.854247837884</v>
      </c>
      <c r="O365" s="530">
        <v>32150.066759639139</v>
      </c>
      <c r="P365" s="530">
        <v>14437.464776325867</v>
      </c>
      <c r="Q365" s="530">
        <v>12605.506235011309</v>
      </c>
      <c r="R365" s="530">
        <v>4053.1269715774029</v>
      </c>
      <c r="S365" s="530">
        <v>3040.8360336892533</v>
      </c>
      <c r="T365" s="530">
        <v>180791.81762326963</v>
      </c>
      <c r="U365" s="530" t="s">
        <v>57</v>
      </c>
    </row>
    <row r="366" spans="1:21" ht="13.8" x14ac:dyDescent="0.3">
      <c r="A366" s="530" t="str">
        <f t="shared" si="10"/>
        <v>Gwynedd.2018.Economic Impact.Accommodation</v>
      </c>
      <c r="B366" s="530" t="s">
        <v>219</v>
      </c>
      <c r="C366" s="530" t="str">
        <f t="shared" si="11"/>
        <v>2018.Economic Impact.Accommodation</v>
      </c>
      <c r="D366" s="530" t="s">
        <v>238</v>
      </c>
      <c r="E366" s="530" t="s">
        <v>17</v>
      </c>
      <c r="F366" s="530" t="s">
        <v>23</v>
      </c>
      <c r="G366" s="530" t="s">
        <v>23</v>
      </c>
      <c r="H366" s="530">
        <v>5015.3124348862721</v>
      </c>
      <c r="I366" s="530">
        <v>6512.0067194407484</v>
      </c>
      <c r="J366" s="530">
        <v>11967.489445951976</v>
      </c>
      <c r="K366" s="530">
        <v>10990.28500401316</v>
      </c>
      <c r="L366" s="530">
        <v>12942.755928356197</v>
      </c>
      <c r="M366" s="530">
        <v>15373.709124504379</v>
      </c>
      <c r="N366" s="530">
        <v>26927.714881991804</v>
      </c>
      <c r="O366" s="530">
        <v>32343.821955533695</v>
      </c>
      <c r="P366" s="530">
        <v>25830.459446746623</v>
      </c>
      <c r="Q366" s="530">
        <v>14707.770500332372</v>
      </c>
      <c r="R366" s="530">
        <v>10516.116245110259</v>
      </c>
      <c r="S366" s="530">
        <v>7320.7455516255177</v>
      </c>
      <c r="T366" s="530">
        <v>180448.18723849303</v>
      </c>
      <c r="U366" s="530" t="s">
        <v>57</v>
      </c>
    </row>
    <row r="367" spans="1:21" ht="13.8" x14ac:dyDescent="0.3">
      <c r="A367" s="530" t="str">
        <f t="shared" si="10"/>
        <v>Gwynedd.2018.Economic Impact.Food &amp; Drink</v>
      </c>
      <c r="B367" s="530" t="s">
        <v>219</v>
      </c>
      <c r="C367" s="530" t="str">
        <f t="shared" si="11"/>
        <v>2018.Economic Impact.Food &amp; Drink</v>
      </c>
      <c r="D367" s="530" t="s">
        <v>238</v>
      </c>
      <c r="E367" s="530" t="s">
        <v>17</v>
      </c>
      <c r="F367" s="530" t="s">
        <v>49</v>
      </c>
      <c r="G367" s="530" t="s">
        <v>49</v>
      </c>
      <c r="H367" s="530">
        <v>4791.5303954602614</v>
      </c>
      <c r="I367" s="530">
        <v>5607.0050299078493</v>
      </c>
      <c r="J367" s="530">
        <v>15911.976188771248</v>
      </c>
      <c r="K367" s="530">
        <v>14918.768479684853</v>
      </c>
      <c r="L367" s="530">
        <v>18143.552199404407</v>
      </c>
      <c r="M367" s="530">
        <v>21524.733789990722</v>
      </c>
      <c r="N367" s="530">
        <v>23332.734719301941</v>
      </c>
      <c r="O367" s="530">
        <v>27140.117214737616</v>
      </c>
      <c r="P367" s="530">
        <v>17311.160126472783</v>
      </c>
      <c r="Q367" s="530">
        <v>15055.161993940099</v>
      </c>
      <c r="R367" s="530">
        <v>7787.1333760776743</v>
      </c>
      <c r="S367" s="530">
        <v>5280.46974696303</v>
      </c>
      <c r="T367" s="530">
        <v>176804.34326071249</v>
      </c>
      <c r="U367" s="530" t="s">
        <v>57</v>
      </c>
    </row>
    <row r="368" spans="1:21" ht="13.8" x14ac:dyDescent="0.3">
      <c r="A368" s="530" t="str">
        <f t="shared" si="10"/>
        <v>Gwynedd.2018.Economic Impact.Recreation</v>
      </c>
      <c r="B368" s="530" t="s">
        <v>219</v>
      </c>
      <c r="C368" s="530" t="str">
        <f t="shared" si="11"/>
        <v>2018.Economic Impact.Recreation</v>
      </c>
      <c r="D368" s="530" t="s">
        <v>238</v>
      </c>
      <c r="E368" s="530" t="s">
        <v>17</v>
      </c>
      <c r="F368" s="530" t="s">
        <v>50</v>
      </c>
      <c r="G368" s="530" t="s">
        <v>50</v>
      </c>
      <c r="H368" s="530">
        <v>1374.1865503937615</v>
      </c>
      <c r="I368" s="530">
        <v>1856.3586712301592</v>
      </c>
      <c r="J368" s="530">
        <v>6692.016715399026</v>
      </c>
      <c r="K368" s="530">
        <v>4789.9973707314684</v>
      </c>
      <c r="L368" s="530">
        <v>6143.1425008152537</v>
      </c>
      <c r="M368" s="530">
        <v>8056.6604732143669</v>
      </c>
      <c r="N368" s="530">
        <v>7926.6706978481261</v>
      </c>
      <c r="O368" s="530">
        <v>9507.3745595613727</v>
      </c>
      <c r="P368" s="530">
        <v>5936.0071484482232</v>
      </c>
      <c r="Q368" s="530">
        <v>5126.9461578492774</v>
      </c>
      <c r="R368" s="530">
        <v>2865.0753710717327</v>
      </c>
      <c r="S368" s="530">
        <v>1787.0570984957099</v>
      </c>
      <c r="T368" s="530">
        <v>62061.493315058477</v>
      </c>
      <c r="U368" s="530" t="s">
        <v>57</v>
      </c>
    </row>
    <row r="369" spans="1:21" ht="13.8" x14ac:dyDescent="0.3">
      <c r="A369" s="530" t="str">
        <f t="shared" si="10"/>
        <v>Gwynedd.2018.Economic Impact.Shopping</v>
      </c>
      <c r="B369" s="530" t="s">
        <v>219</v>
      </c>
      <c r="C369" s="530" t="str">
        <f t="shared" si="11"/>
        <v>2018.Economic Impact.Shopping</v>
      </c>
      <c r="D369" s="530" t="s">
        <v>238</v>
      </c>
      <c r="E369" s="530" t="s">
        <v>17</v>
      </c>
      <c r="F369" s="530" t="s">
        <v>51</v>
      </c>
      <c r="G369" s="530" t="s">
        <v>51</v>
      </c>
      <c r="H369" s="530">
        <v>6459.2638466343878</v>
      </c>
      <c r="I369" s="530">
        <v>7982.3504345483607</v>
      </c>
      <c r="J369" s="530">
        <v>20555.110285937517</v>
      </c>
      <c r="K369" s="530">
        <v>20836.643115427556</v>
      </c>
      <c r="L369" s="530">
        <v>25051.895240170888</v>
      </c>
      <c r="M369" s="530">
        <v>30107.148498377352</v>
      </c>
      <c r="N369" s="530">
        <v>30956.338574444231</v>
      </c>
      <c r="O369" s="530">
        <v>37053.17799914068</v>
      </c>
      <c r="P369" s="530">
        <v>22276.020627175447</v>
      </c>
      <c r="Q369" s="530">
        <v>19528.675945000094</v>
      </c>
      <c r="R369" s="530">
        <v>9552.8446479157774</v>
      </c>
      <c r="S369" s="530">
        <v>6065.7615090238314</v>
      </c>
      <c r="T369" s="530">
        <v>236425.23072379615</v>
      </c>
      <c r="U369" s="530" t="s">
        <v>57</v>
      </c>
    </row>
    <row r="370" spans="1:21" ht="13.8" x14ac:dyDescent="0.3">
      <c r="A370" s="530" t="str">
        <f t="shared" si="10"/>
        <v>Gwynedd.2018.Economic Impact.Transport</v>
      </c>
      <c r="B370" s="530" t="s">
        <v>219</v>
      </c>
      <c r="C370" s="530" t="str">
        <f t="shared" si="11"/>
        <v>2018.Economic Impact.Transport</v>
      </c>
      <c r="D370" s="530" t="s">
        <v>238</v>
      </c>
      <c r="E370" s="530" t="s">
        <v>17</v>
      </c>
      <c r="F370" s="530" t="s">
        <v>52</v>
      </c>
      <c r="G370" s="530" t="s">
        <v>52</v>
      </c>
      <c r="H370" s="530">
        <v>2043.5942038752862</v>
      </c>
      <c r="I370" s="530">
        <v>2581.0597235251635</v>
      </c>
      <c r="J370" s="530">
        <v>7966.9623078967306</v>
      </c>
      <c r="K370" s="530">
        <v>6892.2489649566951</v>
      </c>
      <c r="L370" s="530">
        <v>8545.1928460341096</v>
      </c>
      <c r="M370" s="530">
        <v>10540.455329911421</v>
      </c>
      <c r="N370" s="530">
        <v>10904.178318032451</v>
      </c>
      <c r="O370" s="530">
        <v>12895.947187295586</v>
      </c>
      <c r="P370" s="530">
        <v>7985.7034423674577</v>
      </c>
      <c r="Q370" s="530">
        <v>6959.2746430952066</v>
      </c>
      <c r="R370" s="530">
        <v>3583.12836735363</v>
      </c>
      <c r="S370" s="530">
        <v>2291.0120836947472</v>
      </c>
      <c r="T370" s="530">
        <v>83188.757418038484</v>
      </c>
      <c r="U370" s="530" t="s">
        <v>57</v>
      </c>
    </row>
    <row r="371" spans="1:21" ht="13.8" x14ac:dyDescent="0.3">
      <c r="A371" s="530" t="str">
        <f t="shared" si="10"/>
        <v>Gwynedd.2018.Economic Impact.Direct Expenditure</v>
      </c>
      <c r="B371" s="530" t="s">
        <v>219</v>
      </c>
      <c r="C371" s="530" t="str">
        <f t="shared" si="11"/>
        <v>2018.Economic Impact.Direct Expenditure</v>
      </c>
      <c r="D371" s="530" t="s">
        <v>238</v>
      </c>
      <c r="E371" s="530" t="s">
        <v>17</v>
      </c>
      <c r="F371" s="530" t="s">
        <v>44</v>
      </c>
      <c r="G371" s="530" t="s">
        <v>44</v>
      </c>
      <c r="H371" s="530">
        <v>23620.664917499962</v>
      </c>
      <c r="I371" s="530">
        <v>29446.536694382736</v>
      </c>
      <c r="J371" s="530">
        <v>75712.265932747803</v>
      </c>
      <c r="K371" s="530">
        <v>70113.531521776473</v>
      </c>
      <c r="L371" s="530">
        <v>84991.846457737032</v>
      </c>
      <c r="M371" s="530">
        <v>102723.24865919788</v>
      </c>
      <c r="N371" s="530">
        <v>120057.16462994224</v>
      </c>
      <c r="O371" s="530">
        <v>142728.52669952274</v>
      </c>
      <c r="P371" s="530">
        <v>95207.220949452618</v>
      </c>
      <c r="Q371" s="530">
        <v>73653.395088260455</v>
      </c>
      <c r="R371" s="530">
        <v>41165.15760903489</v>
      </c>
      <c r="S371" s="530">
        <v>27294.055187763403</v>
      </c>
      <c r="T371" s="530">
        <v>886713.61434731819</v>
      </c>
      <c r="U371" s="530" t="s">
        <v>57</v>
      </c>
    </row>
    <row r="372" spans="1:21" ht="13.8" x14ac:dyDescent="0.3">
      <c r="A372" s="530" t="str">
        <f t="shared" si="10"/>
        <v>Gwynedd.2018.Population.Total</v>
      </c>
      <c r="B372" s="530" t="s">
        <v>219</v>
      </c>
      <c r="C372" s="530" t="str">
        <f t="shared" si="11"/>
        <v>2018.Population.Total</v>
      </c>
      <c r="D372" s="530" t="s">
        <v>238</v>
      </c>
      <c r="E372" s="530" t="s">
        <v>19</v>
      </c>
      <c r="F372" s="530" t="s">
        <v>54</v>
      </c>
      <c r="G372" s="530" t="s">
        <v>54</v>
      </c>
      <c r="H372" s="530">
        <v>123742</v>
      </c>
      <c r="I372" s="530">
        <v>123742</v>
      </c>
      <c r="J372" s="530">
        <v>123742</v>
      </c>
      <c r="K372" s="530">
        <v>123742</v>
      </c>
      <c r="L372" s="530">
        <v>123742</v>
      </c>
      <c r="M372" s="530">
        <v>123742</v>
      </c>
      <c r="N372" s="530">
        <v>123742</v>
      </c>
      <c r="O372" s="530">
        <v>123742</v>
      </c>
      <c r="P372" s="530">
        <v>123742</v>
      </c>
      <c r="Q372" s="530">
        <v>123742</v>
      </c>
      <c r="R372" s="530">
        <v>123742</v>
      </c>
      <c r="S372" s="530">
        <v>123742</v>
      </c>
      <c r="T372" s="530">
        <v>123742</v>
      </c>
      <c r="U372" s="530" t="s">
        <v>60</v>
      </c>
    </row>
    <row r="373" spans="1:21" ht="13.8" x14ac:dyDescent="0.3">
      <c r="A373" s="530" t="str">
        <f t="shared" si="10"/>
        <v>Gwynedd.2018.Employment.Serviced Accommodation</v>
      </c>
      <c r="B373" s="530" t="s">
        <v>219</v>
      </c>
      <c r="C373" s="530" t="str">
        <f t="shared" si="11"/>
        <v>2018.Employment.Serviced Accommodation</v>
      </c>
      <c r="D373" s="530" t="s">
        <v>238</v>
      </c>
      <c r="E373" s="530" t="s">
        <v>20</v>
      </c>
      <c r="F373" s="530" t="s">
        <v>43</v>
      </c>
      <c r="G373" s="530" t="s">
        <v>43</v>
      </c>
      <c r="H373" s="530">
        <v>1560.3162616512182</v>
      </c>
      <c r="I373" s="530">
        <v>1698.5818726842094</v>
      </c>
      <c r="J373" s="530">
        <v>1868.7867639303579</v>
      </c>
      <c r="K373" s="530">
        <v>1905.9186860186069</v>
      </c>
      <c r="L373" s="530">
        <v>2047.5261582424218</v>
      </c>
      <c r="M373" s="530">
        <v>2102.7281138317776</v>
      </c>
      <c r="N373" s="530">
        <v>2167.3009891982019</v>
      </c>
      <c r="O373" s="530">
        <v>2211.5453578863335</v>
      </c>
      <c r="P373" s="530">
        <v>2051.1755708203168</v>
      </c>
      <c r="Q373" s="530">
        <v>1916.3372633163256</v>
      </c>
      <c r="R373" s="530">
        <v>1660.7196637103925</v>
      </c>
      <c r="S373" s="530">
        <v>1629.2487655553941</v>
      </c>
      <c r="T373" s="530">
        <v>1901.6821222371298</v>
      </c>
      <c r="U373" s="530" t="s">
        <v>59</v>
      </c>
    </row>
    <row r="374" spans="1:21" ht="13.8" x14ac:dyDescent="0.3">
      <c r="A374" s="530" t="str">
        <f t="shared" si="10"/>
        <v>Gwynedd.2018.Employment.Non-Serviced Accommodation</v>
      </c>
      <c r="B374" s="530" t="s">
        <v>219</v>
      </c>
      <c r="C374" s="530" t="str">
        <f t="shared" si="11"/>
        <v>2018.Employment.Non-Serviced Accommodation</v>
      </c>
      <c r="D374" s="530" t="s">
        <v>238</v>
      </c>
      <c r="E374" s="530" t="s">
        <v>20</v>
      </c>
      <c r="F374" s="530" t="s">
        <v>48</v>
      </c>
      <c r="G374" s="530" t="s">
        <v>48</v>
      </c>
      <c r="H374" s="530">
        <v>5710.6049110855183</v>
      </c>
      <c r="I374" s="530">
        <v>6036.687509684104</v>
      </c>
      <c r="J374" s="530">
        <v>11386.964750987372</v>
      </c>
      <c r="K374" s="530">
        <v>10007.029064464066</v>
      </c>
      <c r="L374" s="530">
        <v>11658.024111369192</v>
      </c>
      <c r="M374" s="530">
        <v>12998.024800826393</v>
      </c>
      <c r="N374" s="530">
        <v>13939.963092072165</v>
      </c>
      <c r="O374" s="530">
        <v>18048.845452545022</v>
      </c>
      <c r="P374" s="530">
        <v>11701.434405295593</v>
      </c>
      <c r="Q374" s="530">
        <v>10768.191251372167</v>
      </c>
      <c r="R374" s="530">
        <v>7292.9822256039897</v>
      </c>
      <c r="S374" s="530">
        <v>5796.5329637806572</v>
      </c>
      <c r="T374" s="530">
        <v>10445.440378257186</v>
      </c>
      <c r="U374" s="530" t="s">
        <v>59</v>
      </c>
    </row>
    <row r="375" spans="1:21" ht="13.8" x14ac:dyDescent="0.3">
      <c r="A375" s="530" t="str">
        <f t="shared" si="10"/>
        <v>Gwynedd.2018.Employment.SFR</v>
      </c>
      <c r="B375" s="530" t="s">
        <v>219</v>
      </c>
      <c r="C375" s="530" t="str">
        <f t="shared" si="11"/>
        <v>2018.Employment.SFR</v>
      </c>
      <c r="D375" s="530" t="s">
        <v>238</v>
      </c>
      <c r="E375" s="530" t="s">
        <v>20</v>
      </c>
      <c r="F375" s="530" t="s">
        <v>18</v>
      </c>
      <c r="G375" s="530" t="s">
        <v>18</v>
      </c>
      <c r="H375" s="530">
        <v>248.58629951515164</v>
      </c>
      <c r="I375" s="530">
        <v>83.52499663709095</v>
      </c>
      <c r="J375" s="530">
        <v>95.015207814680167</v>
      </c>
      <c r="K375" s="530">
        <v>226.71070515781827</v>
      </c>
      <c r="L375" s="530">
        <v>145.83729571555563</v>
      </c>
      <c r="M375" s="530">
        <v>112.34112047688733</v>
      </c>
      <c r="N375" s="530">
        <v>182.29661964444455</v>
      </c>
      <c r="O375" s="530">
        <v>192.97809672761113</v>
      </c>
      <c r="P375" s="530">
        <v>99.399386275729185</v>
      </c>
      <c r="Q375" s="530">
        <v>99.301940446319236</v>
      </c>
      <c r="R375" s="530">
        <v>77.376628829082861</v>
      </c>
      <c r="S375" s="530">
        <v>224.05911796299</v>
      </c>
      <c r="T375" s="530">
        <v>148.95228460028008</v>
      </c>
      <c r="U375" s="530" t="s">
        <v>59</v>
      </c>
    </row>
    <row r="376" spans="1:21" ht="13.8" x14ac:dyDescent="0.3">
      <c r="A376" s="530" t="str">
        <f t="shared" si="10"/>
        <v>Gwynedd.2018.Employment.Day Visitor</v>
      </c>
      <c r="B376" s="530" t="s">
        <v>219</v>
      </c>
      <c r="C376" s="530" t="str">
        <f t="shared" si="11"/>
        <v>2018.Employment.Day Visitor</v>
      </c>
      <c r="D376" s="530" t="s">
        <v>238</v>
      </c>
      <c r="E376" s="530" t="s">
        <v>20</v>
      </c>
      <c r="F376" s="530" t="s">
        <v>71</v>
      </c>
      <c r="G376" s="530" t="s">
        <v>71</v>
      </c>
      <c r="H376" s="530">
        <v>193.61225602346883</v>
      </c>
      <c r="I376" s="530">
        <v>500.01561960849733</v>
      </c>
      <c r="J376" s="530">
        <v>1417.5376317313664</v>
      </c>
      <c r="K376" s="530">
        <v>2108.3480359925179</v>
      </c>
      <c r="L376" s="530">
        <v>2258.4250720486566</v>
      </c>
      <c r="M376" s="530">
        <v>3040.6908733201572</v>
      </c>
      <c r="N376" s="530">
        <v>2550.9286443856072</v>
      </c>
      <c r="O376" s="530">
        <v>3388.8277403844158</v>
      </c>
      <c r="P376" s="530">
        <v>1521.8034071474242</v>
      </c>
      <c r="Q376" s="530">
        <v>1328.7029706707369</v>
      </c>
      <c r="R376" s="530">
        <v>427.2261460378985</v>
      </c>
      <c r="S376" s="530">
        <v>320.5240468695788</v>
      </c>
      <c r="T376" s="530">
        <v>1588.0535370183604</v>
      </c>
      <c r="U376" s="530" t="s">
        <v>59</v>
      </c>
    </row>
    <row r="377" spans="1:21" ht="13.8" x14ac:dyDescent="0.3">
      <c r="A377" s="530" t="str">
        <f t="shared" si="10"/>
        <v>Gwynedd.2018.Employment.Direct Employment</v>
      </c>
      <c r="B377" s="530" t="s">
        <v>219</v>
      </c>
      <c r="C377" s="530" t="str">
        <f t="shared" si="11"/>
        <v>2018.Employment.Direct Employment</v>
      </c>
      <c r="D377" s="530" t="s">
        <v>238</v>
      </c>
      <c r="E377" s="530" t="s">
        <v>20</v>
      </c>
      <c r="F377" s="530" t="s">
        <v>55</v>
      </c>
      <c r="G377" s="530" t="s">
        <v>55</v>
      </c>
      <c r="H377" s="530">
        <v>7713.1197282753574</v>
      </c>
      <c r="I377" s="530">
        <v>8318.8099986139023</v>
      </c>
      <c r="J377" s="530">
        <v>14768.304354463777</v>
      </c>
      <c r="K377" s="530">
        <v>14248.00649163301</v>
      </c>
      <c r="L377" s="530">
        <v>16109.812637375824</v>
      </c>
      <c r="M377" s="530">
        <v>18253.784908455214</v>
      </c>
      <c r="N377" s="530">
        <v>18840.489345300419</v>
      </c>
      <c r="O377" s="530">
        <v>23842.196647543384</v>
      </c>
      <c r="P377" s="530">
        <v>15373.812769539063</v>
      </c>
      <c r="Q377" s="530">
        <v>14112.533425805548</v>
      </c>
      <c r="R377" s="530">
        <v>9458.3046641813635</v>
      </c>
      <c r="S377" s="530">
        <v>7970.3648941686206</v>
      </c>
      <c r="T377" s="530">
        <v>14084.128322112958</v>
      </c>
      <c r="U377" s="530" t="s">
        <v>59</v>
      </c>
    </row>
    <row r="378" spans="1:21" ht="13.8" x14ac:dyDescent="0.3">
      <c r="A378" s="530" t="str">
        <f t="shared" si="10"/>
        <v>Gwynedd.2018.Employment.Indirect Employment</v>
      </c>
      <c r="B378" s="530" t="s">
        <v>219</v>
      </c>
      <c r="C378" s="530" t="str">
        <f t="shared" si="11"/>
        <v>2018.Employment.Indirect Employment</v>
      </c>
      <c r="D378" s="530" t="s">
        <v>238</v>
      </c>
      <c r="E378" s="530" t="s">
        <v>20</v>
      </c>
      <c r="F378" s="530" t="s">
        <v>53</v>
      </c>
      <c r="G378" s="530" t="s">
        <v>53</v>
      </c>
      <c r="H378" s="530">
        <v>1042.009759789574</v>
      </c>
      <c r="I378" s="530">
        <v>1283.0386171031701</v>
      </c>
      <c r="J378" s="530">
        <v>3130.5754968844753</v>
      </c>
      <c r="K378" s="530">
        <v>2965.3755852920522</v>
      </c>
      <c r="L378" s="530">
        <v>3566.2264207682133</v>
      </c>
      <c r="M378" s="530">
        <v>4279.5750904513716</v>
      </c>
      <c r="N378" s="530">
        <v>5041.9961571058611</v>
      </c>
      <c r="O378" s="530">
        <v>6029.7394323054223</v>
      </c>
      <c r="P378" s="530">
        <v>4064.4333439134225</v>
      </c>
      <c r="Q378" s="530">
        <v>3169.5702772913023</v>
      </c>
      <c r="R378" s="530">
        <v>1813.7140577292646</v>
      </c>
      <c r="S378" s="530">
        <v>1167.1219516382639</v>
      </c>
      <c r="T378" s="530">
        <v>3129.4480158560327</v>
      </c>
      <c r="U378" s="530" t="s">
        <v>59</v>
      </c>
    </row>
    <row r="379" spans="1:21" ht="13.8" x14ac:dyDescent="0.3">
      <c r="A379" s="530" t="str">
        <f t="shared" si="10"/>
        <v>Gwynedd.2018.Employment.Total</v>
      </c>
      <c r="B379" s="530" t="s">
        <v>219</v>
      </c>
      <c r="C379" s="530" t="str">
        <f t="shared" si="11"/>
        <v>2018.Employment.Total</v>
      </c>
      <c r="D379" s="530" t="s">
        <v>238</v>
      </c>
      <c r="E379" s="530" t="s">
        <v>20</v>
      </c>
      <c r="F379" s="530" t="s">
        <v>54</v>
      </c>
      <c r="G379" s="530" t="s">
        <v>54</v>
      </c>
      <c r="H379" s="530">
        <v>8755.1294880649311</v>
      </c>
      <c r="I379" s="530">
        <v>9601.8486157170719</v>
      </c>
      <c r="J379" s="530">
        <v>17898.879851348251</v>
      </c>
      <c r="K379" s="530">
        <v>17213.382076925063</v>
      </c>
      <c r="L379" s="530">
        <v>19676.039058144037</v>
      </c>
      <c r="M379" s="530">
        <v>22533.359998906584</v>
      </c>
      <c r="N379" s="530">
        <v>23882.485502406278</v>
      </c>
      <c r="O379" s="530">
        <v>29871.936079848805</v>
      </c>
      <c r="P379" s="530">
        <v>19438.246113452486</v>
      </c>
      <c r="Q379" s="530">
        <v>17282.103703096851</v>
      </c>
      <c r="R379" s="530">
        <v>11272.018721910628</v>
      </c>
      <c r="S379" s="530">
        <v>9137.486845806885</v>
      </c>
      <c r="T379" s="530">
        <v>17213.576337968992</v>
      </c>
      <c r="U379" s="530" t="s">
        <v>59</v>
      </c>
    </row>
    <row r="380" spans="1:21" ht="13.8" x14ac:dyDescent="0.3">
      <c r="A380" s="530" t="str">
        <f t="shared" si="10"/>
        <v>Gwynedd.2018.Employment.Accommodation</v>
      </c>
      <c r="B380" s="530" t="s">
        <v>219</v>
      </c>
      <c r="C380" s="530" t="str">
        <f t="shared" si="11"/>
        <v>2018.Employment.Accommodation</v>
      </c>
      <c r="D380" s="530" t="s">
        <v>238</v>
      </c>
      <c r="E380" s="530" t="s">
        <v>20</v>
      </c>
      <c r="F380" s="530" t="s">
        <v>23</v>
      </c>
      <c r="G380" s="530" t="s">
        <v>23</v>
      </c>
      <c r="H380" s="530">
        <v>5117.8999999999996</v>
      </c>
      <c r="I380" s="530">
        <v>5148.2</v>
      </c>
      <c r="J380" s="530">
        <v>5780.2000000000007</v>
      </c>
      <c r="K380" s="530">
        <v>5905.3</v>
      </c>
      <c r="L380" s="530">
        <v>5935</v>
      </c>
      <c r="M380" s="530">
        <v>5935</v>
      </c>
      <c r="N380" s="530">
        <v>5963.3940714908458</v>
      </c>
      <c r="O380" s="530">
        <v>8618.8736634699253</v>
      </c>
      <c r="P380" s="530">
        <v>5930.5</v>
      </c>
      <c r="Q380" s="530">
        <v>5880.3</v>
      </c>
      <c r="R380" s="530">
        <v>5249</v>
      </c>
      <c r="S380" s="530">
        <v>5225.3999999999996</v>
      </c>
      <c r="T380" s="530">
        <v>5890.7556445800647</v>
      </c>
      <c r="U380" s="530" t="s">
        <v>59</v>
      </c>
    </row>
    <row r="381" spans="1:21" ht="13.8" x14ac:dyDescent="0.3">
      <c r="A381" s="530" t="str">
        <f t="shared" si="10"/>
        <v>Gwynedd.2018.Employment.Food &amp; Drink</v>
      </c>
      <c r="B381" s="530" t="s">
        <v>219</v>
      </c>
      <c r="C381" s="530" t="str">
        <f t="shared" si="11"/>
        <v>2018.Employment.Food &amp; Drink</v>
      </c>
      <c r="D381" s="530" t="s">
        <v>238</v>
      </c>
      <c r="E381" s="530" t="s">
        <v>20</v>
      </c>
      <c r="F381" s="530" t="s">
        <v>49</v>
      </c>
      <c r="G381" s="530" t="s">
        <v>49</v>
      </c>
      <c r="H381" s="530">
        <v>1102.770328864626</v>
      </c>
      <c r="I381" s="530">
        <v>1290.4517493273977</v>
      </c>
      <c r="J381" s="530">
        <v>3662.1400192311266</v>
      </c>
      <c r="K381" s="530">
        <v>3433.553346167796</v>
      </c>
      <c r="L381" s="530">
        <v>4175.7370556735823</v>
      </c>
      <c r="M381" s="530">
        <v>4953.9157223756902</v>
      </c>
      <c r="N381" s="530">
        <v>5370.026988474121</v>
      </c>
      <c r="O381" s="530">
        <v>6246.2957585904596</v>
      </c>
      <c r="P381" s="530">
        <v>3984.1620881265089</v>
      </c>
      <c r="Q381" s="530">
        <v>3464.9443023250951</v>
      </c>
      <c r="R381" s="530">
        <v>1792.2081099988511</v>
      </c>
      <c r="S381" s="530">
        <v>1215.2996806480185</v>
      </c>
      <c r="T381" s="530">
        <v>3390.9587624836058</v>
      </c>
      <c r="U381" s="530" t="s">
        <v>59</v>
      </c>
    </row>
    <row r="382" spans="1:21" ht="13.8" x14ac:dyDescent="0.3">
      <c r="A382" s="530" t="str">
        <f t="shared" si="10"/>
        <v>Gwynedd.2018.Employment.Recreation</v>
      </c>
      <c r="B382" s="530" t="s">
        <v>219</v>
      </c>
      <c r="C382" s="530" t="str">
        <f t="shared" si="11"/>
        <v>2018.Employment.Recreation</v>
      </c>
      <c r="D382" s="530" t="s">
        <v>238</v>
      </c>
      <c r="E382" s="530" t="s">
        <v>20</v>
      </c>
      <c r="F382" s="530" t="s">
        <v>50</v>
      </c>
      <c r="G382" s="530" t="s">
        <v>50</v>
      </c>
      <c r="H382" s="530">
        <v>272.47048197114947</v>
      </c>
      <c r="I382" s="530">
        <v>368.07443772206216</v>
      </c>
      <c r="J382" s="530">
        <v>1326.8773583042912</v>
      </c>
      <c r="K382" s="530">
        <v>949.74942948595083</v>
      </c>
      <c r="L382" s="530">
        <v>1218.0478680532597</v>
      </c>
      <c r="M382" s="530">
        <v>1597.4557177739885</v>
      </c>
      <c r="N382" s="530">
        <v>1571.6816503919345</v>
      </c>
      <c r="O382" s="530">
        <v>1885.0998998510443</v>
      </c>
      <c r="P382" s="530">
        <v>1176.9775568378452</v>
      </c>
      <c r="Q382" s="530">
        <v>1016.5588436803167</v>
      </c>
      <c r="R382" s="530">
        <v>568.08041602204344</v>
      </c>
      <c r="S382" s="530">
        <v>354.33348463319413</v>
      </c>
      <c r="T382" s="530">
        <v>1025.4505953939233</v>
      </c>
      <c r="U382" s="530" t="s">
        <v>59</v>
      </c>
    </row>
    <row r="383" spans="1:21" ht="13.8" x14ac:dyDescent="0.3">
      <c r="A383" s="530" t="str">
        <f t="shared" si="10"/>
        <v>Gwynedd.2018.Employment.Shopping</v>
      </c>
      <c r="B383" s="530" t="s">
        <v>219</v>
      </c>
      <c r="C383" s="530" t="str">
        <f t="shared" si="11"/>
        <v>2018.Employment.Shopping</v>
      </c>
      <c r="D383" s="530" t="s">
        <v>238</v>
      </c>
      <c r="E383" s="530" t="s">
        <v>20</v>
      </c>
      <c r="F383" s="530" t="s">
        <v>51</v>
      </c>
      <c r="G383" s="530" t="s">
        <v>51</v>
      </c>
      <c r="H383" s="530">
        <v>1056.9227900216408</v>
      </c>
      <c r="I383" s="530">
        <v>1306.1439031646439</v>
      </c>
      <c r="J383" s="530">
        <v>3363.4118420376262</v>
      </c>
      <c r="K383" s="530">
        <v>3409.4787732998229</v>
      </c>
      <c r="L383" s="530">
        <v>4099.2162019155867</v>
      </c>
      <c r="M383" s="530">
        <v>4926.4021637823644</v>
      </c>
      <c r="N383" s="530">
        <v>5065.3542743890484</v>
      </c>
      <c r="O383" s="530">
        <v>6062.9739239442688</v>
      </c>
      <c r="P383" s="530">
        <v>3645.002655236256</v>
      </c>
      <c r="Q383" s="530">
        <v>3195.4574321921646</v>
      </c>
      <c r="R383" s="530">
        <v>1563.1222779635029</v>
      </c>
      <c r="S383" s="530">
        <v>992.5344017436031</v>
      </c>
      <c r="T383" s="530">
        <v>3223.8350533075445</v>
      </c>
      <c r="U383" s="530" t="s">
        <v>59</v>
      </c>
    </row>
    <row r="384" spans="1:21" ht="13.8" x14ac:dyDescent="0.3">
      <c r="A384" s="530" t="str">
        <f t="shared" si="10"/>
        <v>Gwynedd.2018.Employment.Transport</v>
      </c>
      <c r="B384" s="530" t="s">
        <v>219</v>
      </c>
      <c r="C384" s="530" t="str">
        <f t="shared" si="11"/>
        <v>2018.Employment.Transport</v>
      </c>
      <c r="D384" s="530" t="s">
        <v>238</v>
      </c>
      <c r="E384" s="530" t="s">
        <v>20</v>
      </c>
      <c r="F384" s="530" t="s">
        <v>52</v>
      </c>
      <c r="G384" s="530" t="s">
        <v>52</v>
      </c>
      <c r="H384" s="530">
        <v>163.05612741794098</v>
      </c>
      <c r="I384" s="530">
        <v>205.93990839979801</v>
      </c>
      <c r="J384" s="530">
        <v>635.67513489073292</v>
      </c>
      <c r="K384" s="530">
        <v>549.92494267943903</v>
      </c>
      <c r="L384" s="530">
        <v>681.8115117333964</v>
      </c>
      <c r="M384" s="530">
        <v>841.01130452317409</v>
      </c>
      <c r="N384" s="530">
        <v>870.0323605544703</v>
      </c>
      <c r="O384" s="530">
        <v>1028.9534016876823</v>
      </c>
      <c r="P384" s="530">
        <v>637.1704693384529</v>
      </c>
      <c r="Q384" s="530">
        <v>555.27284760797249</v>
      </c>
      <c r="R384" s="530">
        <v>285.89386019696661</v>
      </c>
      <c r="S384" s="530">
        <v>182.79732714380438</v>
      </c>
      <c r="T384" s="530">
        <v>553.12826634781925</v>
      </c>
      <c r="U384" s="530" t="s">
        <v>59</v>
      </c>
    </row>
    <row r="385" spans="1:21" ht="13.8" x14ac:dyDescent="0.3">
      <c r="A385" s="530" t="str">
        <f t="shared" si="10"/>
        <v>Gwynedd.2018.Visitor Days.Serviced Accommodation</v>
      </c>
      <c r="B385" s="530" t="s">
        <v>219</v>
      </c>
      <c r="C385" s="530" t="str">
        <f t="shared" si="11"/>
        <v>2018.Visitor Days.Serviced Accommodation</v>
      </c>
      <c r="D385" s="530" t="s">
        <v>238</v>
      </c>
      <c r="E385" s="530" t="s">
        <v>171</v>
      </c>
      <c r="F385" s="530" t="s">
        <v>43</v>
      </c>
      <c r="G385" s="530" t="s">
        <v>43</v>
      </c>
      <c r="H385" s="530">
        <v>37.762262509174974</v>
      </c>
      <c r="I385" s="530">
        <v>58.522465833458035</v>
      </c>
      <c r="J385" s="530">
        <v>81.23480718017575</v>
      </c>
      <c r="K385" s="530">
        <v>85.232926577746582</v>
      </c>
      <c r="L385" s="530">
        <v>113.85104634635542</v>
      </c>
      <c r="M385" s="530">
        <v>125.57326699467971</v>
      </c>
      <c r="N385" s="530">
        <v>133.34631292564274</v>
      </c>
      <c r="O385" s="530">
        <v>141.02191216989968</v>
      </c>
      <c r="P385" s="530">
        <v>114.78912165250965</v>
      </c>
      <c r="Q385" s="530">
        <v>87.793425193506494</v>
      </c>
      <c r="R385" s="530">
        <v>45.151477851410888</v>
      </c>
      <c r="S385" s="530">
        <v>39.507932530415694</v>
      </c>
      <c r="T385" s="530">
        <v>1063.7869577649756</v>
      </c>
      <c r="U385" s="530" t="s">
        <v>61</v>
      </c>
    </row>
    <row r="386" spans="1:21" ht="13.8" x14ac:dyDescent="0.3">
      <c r="A386" s="530" t="str">
        <f t="shared" si="10"/>
        <v>Gwynedd.2018.Visitor Days.Non-Serviced Accommodation</v>
      </c>
      <c r="B386" s="530" t="s">
        <v>219</v>
      </c>
      <c r="C386" s="530" t="str">
        <f t="shared" si="11"/>
        <v>2018.Visitor Days.Non-Serviced Accommodation</v>
      </c>
      <c r="D386" s="530" t="s">
        <v>238</v>
      </c>
      <c r="E386" s="530" t="s">
        <v>171</v>
      </c>
      <c r="F386" s="530" t="s">
        <v>48</v>
      </c>
      <c r="G386" s="530" t="s">
        <v>48</v>
      </c>
      <c r="H386" s="530">
        <v>495.08456011748029</v>
      </c>
      <c r="I386" s="530">
        <v>563.90985576115963</v>
      </c>
      <c r="J386" s="530">
        <v>1643.2882529252281</v>
      </c>
      <c r="K386" s="530">
        <v>1391.3563579559686</v>
      </c>
      <c r="L386" s="530">
        <v>1760.4645732458052</v>
      </c>
      <c r="M386" s="530">
        <v>2033.3704156613092</v>
      </c>
      <c r="N386" s="530">
        <v>2329.4872049794417</v>
      </c>
      <c r="O386" s="530">
        <v>2660.166916863966</v>
      </c>
      <c r="P386" s="530">
        <v>1797.5166267571169</v>
      </c>
      <c r="Q386" s="530">
        <v>1572.8842500135993</v>
      </c>
      <c r="R386" s="530">
        <v>861.57951625078681</v>
      </c>
      <c r="S386" s="530">
        <v>519.28534198746775</v>
      </c>
      <c r="T386" s="530">
        <v>17628.393872519329</v>
      </c>
      <c r="U386" s="530" t="s">
        <v>61</v>
      </c>
    </row>
    <row r="387" spans="1:21" ht="13.8" x14ac:dyDescent="0.3">
      <c r="A387" s="530" t="str">
        <f t="shared" si="10"/>
        <v>Gwynedd.2018.Visitor Days.SFR</v>
      </c>
      <c r="B387" s="530" t="s">
        <v>219</v>
      </c>
      <c r="C387" s="530" t="str">
        <f t="shared" si="11"/>
        <v>2018.Visitor Days.SFR</v>
      </c>
      <c r="D387" s="530" t="s">
        <v>238</v>
      </c>
      <c r="E387" s="530" t="s">
        <v>171</v>
      </c>
      <c r="F387" s="530" t="s">
        <v>18</v>
      </c>
      <c r="G387" s="530" t="s">
        <v>18</v>
      </c>
      <c r="H387" s="530">
        <v>63.277159090909088</v>
      </c>
      <c r="I387" s="530">
        <v>21.261125454545454</v>
      </c>
      <c r="J387" s="530">
        <v>24.185936363636362</v>
      </c>
      <c r="K387" s="530">
        <v>57.708769090909087</v>
      </c>
      <c r="L387" s="530">
        <v>37.122599999999998</v>
      </c>
      <c r="M387" s="530">
        <v>28.596213736363637</v>
      </c>
      <c r="N387" s="530">
        <v>46.40325</v>
      </c>
      <c r="O387" s="530">
        <v>49.122199218181819</v>
      </c>
      <c r="P387" s="530">
        <v>25.301920464545457</v>
      </c>
      <c r="Q387" s="530">
        <v>25.277115818181816</v>
      </c>
      <c r="R387" s="530">
        <v>19.696070386363633</v>
      </c>
      <c r="S387" s="530">
        <v>57.033812727272732</v>
      </c>
      <c r="T387" s="530">
        <v>454.9861723509091</v>
      </c>
      <c r="U387" s="530" t="s">
        <v>61</v>
      </c>
    </row>
    <row r="388" spans="1:21" ht="13.8" x14ac:dyDescent="0.3">
      <c r="A388" s="530" t="str">
        <f t="shared" si="10"/>
        <v>Gwynedd.2018.Visitor Days.Day Visitor</v>
      </c>
      <c r="B388" s="530" t="s">
        <v>219</v>
      </c>
      <c r="C388" s="530" t="str">
        <f t="shared" si="11"/>
        <v>2018.Visitor Days.Day Visitor</v>
      </c>
      <c r="D388" s="530" t="s">
        <v>238</v>
      </c>
      <c r="E388" s="530" t="s">
        <v>171</v>
      </c>
      <c r="F388" s="530" t="s">
        <v>71</v>
      </c>
      <c r="G388" s="530" t="s">
        <v>71</v>
      </c>
      <c r="H388" s="530">
        <v>38.629157356425061</v>
      </c>
      <c r="I388" s="530">
        <v>99.762186791448372</v>
      </c>
      <c r="J388" s="530">
        <v>282.82447278630701</v>
      </c>
      <c r="K388" s="530">
        <v>420.65368028453969</v>
      </c>
      <c r="L388" s="530">
        <v>450.59677149409475</v>
      </c>
      <c r="M388" s="530">
        <v>606.67298976926327</v>
      </c>
      <c r="N388" s="530">
        <v>508.95654042189915</v>
      </c>
      <c r="O388" s="530">
        <v>676.13261022721588</v>
      </c>
      <c r="P388" s="530">
        <v>303.62738644559704</v>
      </c>
      <c r="Q388" s="530">
        <v>265.10034637356711</v>
      </c>
      <c r="R388" s="530">
        <v>85.239366355384803</v>
      </c>
      <c r="S388" s="530">
        <v>63.95036191067512</v>
      </c>
      <c r="T388" s="530">
        <v>3802.1458702164173</v>
      </c>
      <c r="U388" s="530" t="s">
        <v>61</v>
      </c>
    </row>
    <row r="389" spans="1:21" ht="13.8" x14ac:dyDescent="0.3">
      <c r="A389" s="530" t="str">
        <f t="shared" si="10"/>
        <v>Gwynedd.2018.Visitor Days.Total</v>
      </c>
      <c r="B389" s="530" t="s">
        <v>219</v>
      </c>
      <c r="C389" s="530" t="str">
        <f t="shared" si="11"/>
        <v>2018.Visitor Days.Total</v>
      </c>
      <c r="D389" s="530" t="s">
        <v>238</v>
      </c>
      <c r="E389" s="530" t="s">
        <v>171</v>
      </c>
      <c r="F389" s="530" t="s">
        <v>54</v>
      </c>
      <c r="G389" s="530" t="s">
        <v>54</v>
      </c>
      <c r="H389" s="530">
        <v>634.75313907398936</v>
      </c>
      <c r="I389" s="530">
        <v>743.45563384061143</v>
      </c>
      <c r="J389" s="530">
        <v>2031.5334692553472</v>
      </c>
      <c r="K389" s="530">
        <v>1954.951733909164</v>
      </c>
      <c r="L389" s="530">
        <v>2362.0349910862551</v>
      </c>
      <c r="M389" s="530">
        <v>2794.2128861616156</v>
      </c>
      <c r="N389" s="530">
        <v>3018.1933083269837</v>
      </c>
      <c r="O389" s="530">
        <v>3526.4436384792634</v>
      </c>
      <c r="P389" s="530">
        <v>2241.2350553197693</v>
      </c>
      <c r="Q389" s="530">
        <v>1951.0551373988546</v>
      </c>
      <c r="R389" s="530">
        <v>1011.6664308439462</v>
      </c>
      <c r="S389" s="530">
        <v>679.77744915583139</v>
      </c>
      <c r="T389" s="530">
        <v>22949.312872851628</v>
      </c>
      <c r="U389" s="530" t="s">
        <v>61</v>
      </c>
    </row>
    <row r="390" spans="1:21" ht="13.8" x14ac:dyDescent="0.3">
      <c r="A390" s="530" t="str">
        <f t="shared" si="10"/>
        <v>Gwynedd.2018.Visitor Numbers.Serviced Accommodation</v>
      </c>
      <c r="B390" s="530" t="s">
        <v>219</v>
      </c>
      <c r="C390" s="530" t="str">
        <f t="shared" si="11"/>
        <v>2018.Visitor Numbers.Serviced Accommodation</v>
      </c>
      <c r="D390" s="530" t="s">
        <v>238</v>
      </c>
      <c r="E390" s="530" t="s">
        <v>172</v>
      </c>
      <c r="F390" s="530" t="s">
        <v>43</v>
      </c>
      <c r="G390" s="530" t="s">
        <v>43</v>
      </c>
      <c r="H390" s="530">
        <v>24.475828581686436</v>
      </c>
      <c r="I390" s="530">
        <v>38.779677557296836</v>
      </c>
      <c r="J390" s="530">
        <v>39.737025598270229</v>
      </c>
      <c r="K390" s="530">
        <v>47.061815620115624</v>
      </c>
      <c r="L390" s="530">
        <v>60.567732929496529</v>
      </c>
      <c r="M390" s="530">
        <v>71.387187843335226</v>
      </c>
      <c r="N390" s="530">
        <v>76.818545005040122</v>
      </c>
      <c r="O390" s="530">
        <v>80.457760928646721</v>
      </c>
      <c r="P390" s="530">
        <v>58.794051421668421</v>
      </c>
      <c r="Q390" s="530">
        <v>50.445122042316129</v>
      </c>
      <c r="R390" s="530">
        <v>26.664942771724775</v>
      </c>
      <c r="S390" s="530">
        <v>24.215382157100311</v>
      </c>
      <c r="T390" s="530">
        <v>599.40507245669733</v>
      </c>
      <c r="U390" s="530" t="s">
        <v>61</v>
      </c>
    </row>
    <row r="391" spans="1:21" ht="13.8" x14ac:dyDescent="0.3">
      <c r="A391" s="530" t="str">
        <f t="shared" si="10"/>
        <v>Gwynedd.2018.Visitor Numbers.Non-Serviced Accommodation</v>
      </c>
      <c r="B391" s="530" t="s">
        <v>219</v>
      </c>
      <c r="C391" s="530" t="str">
        <f t="shared" si="11"/>
        <v>2018.Visitor Numbers.Non-Serviced Accommodation</v>
      </c>
      <c r="D391" s="530" t="s">
        <v>238</v>
      </c>
      <c r="E391" s="530" t="s">
        <v>172</v>
      </c>
      <c r="F391" s="530" t="s">
        <v>48</v>
      </c>
      <c r="G391" s="530" t="s">
        <v>48</v>
      </c>
      <c r="H391" s="530">
        <v>145.57699354538715</v>
      </c>
      <c r="I391" s="530">
        <v>141.53854189046416</v>
      </c>
      <c r="J391" s="530">
        <v>345.8221907960762</v>
      </c>
      <c r="K391" s="530">
        <v>226.98751261189602</v>
      </c>
      <c r="L391" s="530">
        <v>259.73890761936843</v>
      </c>
      <c r="M391" s="530">
        <v>298.39161074758414</v>
      </c>
      <c r="N391" s="530">
        <v>337.38102226416032</v>
      </c>
      <c r="O391" s="530">
        <v>360.18346828088585</v>
      </c>
      <c r="P391" s="530">
        <v>273.44383574490877</v>
      </c>
      <c r="Q391" s="530">
        <v>240.92574954725757</v>
      </c>
      <c r="R391" s="530">
        <v>197.72637601525975</v>
      </c>
      <c r="S391" s="530">
        <v>98.296149562853387</v>
      </c>
      <c r="T391" s="530">
        <v>2926.0123586261016</v>
      </c>
      <c r="U391" s="530" t="s">
        <v>61</v>
      </c>
    </row>
    <row r="392" spans="1:21" ht="13.8" x14ac:dyDescent="0.3">
      <c r="A392" s="530" t="str">
        <f t="shared" si="10"/>
        <v>Gwynedd.2018.Visitor Numbers.SFR</v>
      </c>
      <c r="B392" s="530" t="s">
        <v>219</v>
      </c>
      <c r="C392" s="530" t="str">
        <f t="shared" si="11"/>
        <v>2018.Visitor Numbers.SFR</v>
      </c>
      <c r="D392" s="530" t="s">
        <v>238</v>
      </c>
      <c r="E392" s="530" t="s">
        <v>172</v>
      </c>
      <c r="F392" s="530" t="s">
        <v>18</v>
      </c>
      <c r="G392" s="530" t="s">
        <v>18</v>
      </c>
      <c r="H392" s="530">
        <v>25.310863636363635</v>
      </c>
      <c r="I392" s="530">
        <v>10.124345454545454</v>
      </c>
      <c r="J392" s="530">
        <v>11.249272727272727</v>
      </c>
      <c r="K392" s="530">
        <v>21.373618181818181</v>
      </c>
      <c r="L392" s="530">
        <v>16.873909090909088</v>
      </c>
      <c r="M392" s="530">
        <v>13.617244636363637</v>
      </c>
      <c r="N392" s="530">
        <v>18.561299999999999</v>
      </c>
      <c r="O392" s="530">
        <v>18.893153545454545</v>
      </c>
      <c r="P392" s="530">
        <v>11.659871181818183</v>
      </c>
      <c r="Q392" s="530">
        <v>11.811736363636362</v>
      </c>
      <c r="R392" s="530">
        <v>9.7024977272727266</v>
      </c>
      <c r="S392" s="530">
        <v>21.936081818181819</v>
      </c>
      <c r="T392" s="530">
        <v>191.11389436363635</v>
      </c>
      <c r="U392" s="530" t="s">
        <v>61</v>
      </c>
    </row>
    <row r="393" spans="1:21" ht="13.8" x14ac:dyDescent="0.3">
      <c r="A393" s="530" t="str">
        <f t="shared" ref="A393:A456" si="12">B393&amp;"."&amp;D393&amp;"."&amp;E393&amp;"."&amp;F393</f>
        <v>Gwynedd.2018.Visitor Numbers.Day Visitor</v>
      </c>
      <c r="B393" s="530" t="s">
        <v>219</v>
      </c>
      <c r="C393" s="530" t="str">
        <f t="shared" ref="C393:C456" si="13">D393&amp;"."&amp;E393&amp;"."&amp;F393</f>
        <v>2018.Visitor Numbers.Day Visitor</v>
      </c>
      <c r="D393" s="530" t="s">
        <v>238</v>
      </c>
      <c r="E393" s="530" t="s">
        <v>172</v>
      </c>
      <c r="F393" s="530" t="s">
        <v>71</v>
      </c>
      <c r="G393" s="530" t="s">
        <v>71</v>
      </c>
      <c r="H393" s="530">
        <v>38.629157356425061</v>
      </c>
      <c r="I393" s="530">
        <v>99.762186791448372</v>
      </c>
      <c r="J393" s="530">
        <v>282.82447278630701</v>
      </c>
      <c r="K393" s="530">
        <v>420.65368028453969</v>
      </c>
      <c r="L393" s="530">
        <v>450.59677149409475</v>
      </c>
      <c r="M393" s="530">
        <v>606.67298976926327</v>
      </c>
      <c r="N393" s="530">
        <v>508.95654042189915</v>
      </c>
      <c r="O393" s="530">
        <v>676.13261022721588</v>
      </c>
      <c r="P393" s="530">
        <v>303.62738644559704</v>
      </c>
      <c r="Q393" s="530">
        <v>265.10034637356711</v>
      </c>
      <c r="R393" s="530">
        <v>85.239366355384803</v>
      </c>
      <c r="S393" s="530">
        <v>63.95036191067512</v>
      </c>
      <c r="T393" s="530">
        <v>3802.1458702164173</v>
      </c>
      <c r="U393" s="530" t="s">
        <v>61</v>
      </c>
    </row>
    <row r="394" spans="1:21" ht="13.8" x14ac:dyDescent="0.3">
      <c r="A394" s="530" t="str">
        <f t="shared" si="12"/>
        <v>Gwynedd.2018.Visitor Numbers.Total</v>
      </c>
      <c r="B394" s="530" t="s">
        <v>219</v>
      </c>
      <c r="C394" s="530" t="str">
        <f t="shared" si="13"/>
        <v>2018.Visitor Numbers.Total</v>
      </c>
      <c r="D394" s="530" t="s">
        <v>238</v>
      </c>
      <c r="E394" s="530" t="s">
        <v>172</v>
      </c>
      <c r="F394" s="530" t="s">
        <v>54</v>
      </c>
      <c r="G394" s="530" t="s">
        <v>54</v>
      </c>
      <c r="H394" s="530">
        <v>233.99284311986227</v>
      </c>
      <c r="I394" s="530">
        <v>290.20475169375482</v>
      </c>
      <c r="J394" s="530">
        <v>679.63296190792619</v>
      </c>
      <c r="K394" s="530">
        <v>716.07662669836952</v>
      </c>
      <c r="L394" s="530">
        <v>787.77732113386878</v>
      </c>
      <c r="M394" s="530">
        <v>990.06903299654618</v>
      </c>
      <c r="N394" s="530">
        <v>941.71740769109965</v>
      </c>
      <c r="O394" s="530">
        <v>1135.6669929822031</v>
      </c>
      <c r="P394" s="530">
        <v>647.52514479399247</v>
      </c>
      <c r="Q394" s="530">
        <v>568.28295432677714</v>
      </c>
      <c r="R394" s="530">
        <v>319.33318286964203</v>
      </c>
      <c r="S394" s="530">
        <v>208.39797544881063</v>
      </c>
      <c r="T394" s="530">
        <v>7518.6771956628536</v>
      </c>
      <c r="U394" s="530" t="s">
        <v>61</v>
      </c>
    </row>
    <row r="395" spans="1:21" ht="13.8" x14ac:dyDescent="0.3">
      <c r="A395" s="530" t="str">
        <f t="shared" si="12"/>
        <v>Gwynedd.2018.Vehicle Days.Serviced Accommodation</v>
      </c>
      <c r="B395" s="530" t="s">
        <v>219</v>
      </c>
      <c r="C395" s="530" t="str">
        <f t="shared" si="13"/>
        <v>2018.Vehicle Days.Serviced Accommodation</v>
      </c>
      <c r="D395" s="530" t="s">
        <v>238</v>
      </c>
      <c r="E395" s="530" t="s">
        <v>21</v>
      </c>
      <c r="F395" s="530" t="s">
        <v>43</v>
      </c>
      <c r="G395" s="530" t="s">
        <v>43</v>
      </c>
      <c r="H395" s="530">
        <v>9.6216940815341907</v>
      </c>
      <c r="I395" s="530">
        <v>19.986062203226094</v>
      </c>
      <c r="J395" s="530">
        <v>28.988953538632614</v>
      </c>
      <c r="K395" s="530">
        <v>22.055809697963674</v>
      </c>
      <c r="L395" s="530">
        <v>32.181683763639967</v>
      </c>
      <c r="M395" s="530">
        <v>34.63284369557006</v>
      </c>
      <c r="N395" s="530">
        <v>34.485860757398719</v>
      </c>
      <c r="O395" s="530">
        <v>36.474271708144713</v>
      </c>
      <c r="P395" s="530">
        <v>29.688464832211142</v>
      </c>
      <c r="Q395" s="530">
        <v>25.586202782435937</v>
      </c>
      <c r="R395" s="530">
        <v>13.27022824747637</v>
      </c>
      <c r="S395" s="530">
        <v>10.2352439277164</v>
      </c>
      <c r="T395" s="530">
        <v>297.20731923594985</v>
      </c>
      <c r="U395" s="530" t="s">
        <v>61</v>
      </c>
    </row>
    <row r="396" spans="1:21" ht="13.8" x14ac:dyDescent="0.3">
      <c r="A396" s="530" t="str">
        <f t="shared" si="12"/>
        <v>Gwynedd.2018.Vehicle Days.Non-Serviced Accommodation</v>
      </c>
      <c r="B396" s="530" t="s">
        <v>219</v>
      </c>
      <c r="C396" s="530" t="str">
        <f t="shared" si="13"/>
        <v>2018.Vehicle Days.Non-Serviced Accommodation</v>
      </c>
      <c r="D396" s="530" t="s">
        <v>238</v>
      </c>
      <c r="E396" s="530" t="s">
        <v>21</v>
      </c>
      <c r="F396" s="530" t="s">
        <v>48</v>
      </c>
      <c r="G396" s="530" t="s">
        <v>48</v>
      </c>
      <c r="H396" s="530">
        <v>129.53444578981009</v>
      </c>
      <c r="I396" s="530">
        <v>170.88309825778481</v>
      </c>
      <c r="J396" s="530">
        <v>456.712796164819</v>
      </c>
      <c r="K396" s="530">
        <v>353.66647874959159</v>
      </c>
      <c r="L396" s="530">
        <v>472.86722804552261</v>
      </c>
      <c r="M396" s="530">
        <v>556.31694962473239</v>
      </c>
      <c r="N396" s="530">
        <v>597.55185161442159</v>
      </c>
      <c r="O396" s="530">
        <v>675.61703148513982</v>
      </c>
      <c r="P396" s="530">
        <v>482.66180852518863</v>
      </c>
      <c r="Q396" s="530">
        <v>408.82649558506881</v>
      </c>
      <c r="R396" s="530">
        <v>232.17109683081821</v>
      </c>
      <c r="S396" s="530">
        <v>127.11287678121474</v>
      </c>
      <c r="T396" s="530">
        <v>4663.9221574541125</v>
      </c>
      <c r="U396" s="530" t="s">
        <v>61</v>
      </c>
    </row>
    <row r="397" spans="1:21" ht="13.8" x14ac:dyDescent="0.3">
      <c r="A397" s="530" t="str">
        <f t="shared" si="12"/>
        <v>Gwynedd.2018.Vehicle Days.SFR</v>
      </c>
      <c r="B397" s="530" t="s">
        <v>219</v>
      </c>
      <c r="C397" s="530" t="str">
        <f t="shared" si="13"/>
        <v>2018.Vehicle Days.SFR</v>
      </c>
      <c r="D397" s="530" t="s">
        <v>238</v>
      </c>
      <c r="E397" s="530" t="s">
        <v>21</v>
      </c>
      <c r="F397" s="530" t="s">
        <v>18</v>
      </c>
      <c r="G397" s="530" t="s">
        <v>18</v>
      </c>
      <c r="H397" s="530">
        <v>19.82684318181818</v>
      </c>
      <c r="I397" s="530">
        <v>6.6618193090909079</v>
      </c>
      <c r="J397" s="530">
        <v>7.5782600606060599</v>
      </c>
      <c r="K397" s="530">
        <v>18.08208098181818</v>
      </c>
      <c r="L397" s="530">
        <v>11.631748</v>
      </c>
      <c r="M397" s="530">
        <v>8.9601469707272727</v>
      </c>
      <c r="N397" s="530">
        <v>14.539685</v>
      </c>
      <c r="O397" s="530">
        <v>15.391622421696969</v>
      </c>
      <c r="P397" s="530">
        <v>7.9279350788909086</v>
      </c>
      <c r="Q397" s="530">
        <v>7.9201629563636358</v>
      </c>
      <c r="R397" s="530">
        <v>6.1714353877272714</v>
      </c>
      <c r="S397" s="530">
        <v>17.870594654545457</v>
      </c>
      <c r="T397" s="530">
        <v>142.56233400328483</v>
      </c>
      <c r="U397" s="530" t="s">
        <v>61</v>
      </c>
    </row>
    <row r="398" spans="1:21" ht="13.8" x14ac:dyDescent="0.3">
      <c r="A398" s="530" t="str">
        <f t="shared" si="12"/>
        <v>Gwynedd.2018.Vehicle Days.Day Visitor</v>
      </c>
      <c r="B398" s="530" t="s">
        <v>219</v>
      </c>
      <c r="C398" s="530" t="str">
        <f t="shared" si="13"/>
        <v>2018.Vehicle Days.Day Visitor</v>
      </c>
      <c r="D398" s="530" t="s">
        <v>238</v>
      </c>
      <c r="E398" s="530" t="s">
        <v>21</v>
      </c>
      <c r="F398" s="530" t="s">
        <v>71</v>
      </c>
      <c r="G398" s="530" t="s">
        <v>71</v>
      </c>
      <c r="H398" s="530">
        <v>8.4984146184135128</v>
      </c>
      <c r="I398" s="530">
        <v>25.083064107564162</v>
      </c>
      <c r="J398" s="530">
        <v>71.11015315770004</v>
      </c>
      <c r="K398" s="530">
        <v>92.543809662598733</v>
      </c>
      <c r="L398" s="530">
        <v>99.13128972870085</v>
      </c>
      <c r="M398" s="530">
        <v>152.53492314198618</v>
      </c>
      <c r="N398" s="530">
        <v>111.97043889281781</v>
      </c>
      <c r="O398" s="530">
        <v>148.7491742499875</v>
      </c>
      <c r="P398" s="530">
        <v>66.798025018031353</v>
      </c>
      <c r="Q398" s="530">
        <v>66.653801373925447</v>
      </c>
      <c r="R398" s="530">
        <v>21.431612112211035</v>
      </c>
      <c r="S398" s="530">
        <v>14.069079620348527</v>
      </c>
      <c r="T398" s="530">
        <v>878.5737856842851</v>
      </c>
      <c r="U398" s="530" t="s">
        <v>61</v>
      </c>
    </row>
    <row r="399" spans="1:21" ht="13.8" x14ac:dyDescent="0.3">
      <c r="A399" s="530" t="str">
        <f t="shared" si="12"/>
        <v>Gwynedd.2018.Vehicle Days.Total</v>
      </c>
      <c r="B399" s="530" t="s">
        <v>219</v>
      </c>
      <c r="C399" s="530" t="str">
        <f t="shared" si="13"/>
        <v>2018.Vehicle Days.Total</v>
      </c>
      <c r="D399" s="530" t="s">
        <v>238</v>
      </c>
      <c r="E399" s="530" t="s">
        <v>21</v>
      </c>
      <c r="F399" s="530" t="s">
        <v>54</v>
      </c>
      <c r="G399" s="530" t="s">
        <v>54</v>
      </c>
      <c r="H399" s="530">
        <v>167.48139767157599</v>
      </c>
      <c r="I399" s="530">
        <v>222.61404387766595</v>
      </c>
      <c r="J399" s="530">
        <v>564.39016292175768</v>
      </c>
      <c r="K399" s="530">
        <v>486.34817909197221</v>
      </c>
      <c r="L399" s="530">
        <v>615.81194953786337</v>
      </c>
      <c r="M399" s="530">
        <v>752.44486343301583</v>
      </c>
      <c r="N399" s="530">
        <v>758.54783626463814</v>
      </c>
      <c r="O399" s="530">
        <v>876.23209986496897</v>
      </c>
      <c r="P399" s="530">
        <v>587.07623345432205</v>
      </c>
      <c r="Q399" s="530">
        <v>508.9866626977938</v>
      </c>
      <c r="R399" s="530">
        <v>273.04437257823292</v>
      </c>
      <c r="S399" s="530">
        <v>169.28779498382511</v>
      </c>
      <c r="T399" s="530">
        <v>5982.2655963776315</v>
      </c>
      <c r="U399" s="530" t="s">
        <v>61</v>
      </c>
    </row>
    <row r="400" spans="1:21" ht="13.8" x14ac:dyDescent="0.3">
      <c r="A400" s="530" t="str">
        <f t="shared" si="12"/>
        <v>Gwynedd.2018.Vehicle Numbers.Serviced Accommodation</v>
      </c>
      <c r="B400" s="530" t="s">
        <v>219</v>
      </c>
      <c r="C400" s="530" t="str">
        <f t="shared" si="13"/>
        <v>2018.Vehicle Numbers.Serviced Accommodation</v>
      </c>
      <c r="D400" s="530" t="s">
        <v>238</v>
      </c>
      <c r="E400" s="530" t="s">
        <v>22</v>
      </c>
      <c r="F400" s="530" t="s">
        <v>43</v>
      </c>
      <c r="G400" s="530" t="s">
        <v>43</v>
      </c>
      <c r="H400" s="530">
        <v>6.2094991677787803</v>
      </c>
      <c r="I400" s="530">
        <v>13.228764977721619</v>
      </c>
      <c r="J400" s="530">
        <v>14.182342754035506</v>
      </c>
      <c r="K400" s="530">
        <v>12.177876943313152</v>
      </c>
      <c r="L400" s="530">
        <v>17.099128426539131</v>
      </c>
      <c r="M400" s="530">
        <v>19.68155991008582</v>
      </c>
      <c r="N400" s="530">
        <v>19.870499143939099</v>
      </c>
      <c r="O400" s="530">
        <v>20.818267601432776</v>
      </c>
      <c r="P400" s="530">
        <v>15.208099970913105</v>
      </c>
      <c r="Q400" s="530">
        <v>14.732772866714498</v>
      </c>
      <c r="R400" s="530">
        <v>7.7455957192002716</v>
      </c>
      <c r="S400" s="530">
        <v>6.2755446218507025</v>
      </c>
      <c r="T400" s="530">
        <v>167.22995210352448</v>
      </c>
      <c r="U400" s="530" t="s">
        <v>61</v>
      </c>
    </row>
    <row r="401" spans="1:21" ht="13.8" x14ac:dyDescent="0.3">
      <c r="A401" s="530" t="str">
        <f t="shared" si="12"/>
        <v>Gwynedd.2018.Vehicle Numbers.Non-Serviced Accommodation</v>
      </c>
      <c r="B401" s="530" t="s">
        <v>219</v>
      </c>
      <c r="C401" s="530" t="str">
        <f t="shared" si="13"/>
        <v>2018.Vehicle Numbers.Non-Serviced Accommodation</v>
      </c>
      <c r="D401" s="530" t="s">
        <v>238</v>
      </c>
      <c r="E401" s="530" t="s">
        <v>22</v>
      </c>
      <c r="F401" s="530" t="s">
        <v>48</v>
      </c>
      <c r="G401" s="530" t="s">
        <v>48</v>
      </c>
      <c r="H401" s="530">
        <v>38.088213603980378</v>
      </c>
      <c r="I401" s="530">
        <v>42.920988277435733</v>
      </c>
      <c r="J401" s="530">
        <v>96.154694912672625</v>
      </c>
      <c r="K401" s="530">
        <v>57.601337071835793</v>
      </c>
      <c r="L401" s="530">
        <v>69.864906117142155</v>
      </c>
      <c r="M401" s="530">
        <v>81.767236243138186</v>
      </c>
      <c r="N401" s="530">
        <v>86.370874904773515</v>
      </c>
      <c r="O401" s="530">
        <v>91.141649023354162</v>
      </c>
      <c r="P401" s="530">
        <v>73.701000646872131</v>
      </c>
      <c r="Q401" s="530">
        <v>62.586001015784312</v>
      </c>
      <c r="R401" s="530">
        <v>53.354741443730759</v>
      </c>
      <c r="S401" s="530">
        <v>23.899795493709302</v>
      </c>
      <c r="T401" s="530">
        <v>777.45143875442909</v>
      </c>
      <c r="U401" s="530" t="s">
        <v>61</v>
      </c>
    </row>
    <row r="402" spans="1:21" ht="13.8" x14ac:dyDescent="0.3">
      <c r="A402" s="530" t="str">
        <f t="shared" si="12"/>
        <v>Gwynedd.2018.Vehicle Numbers.SFR</v>
      </c>
      <c r="B402" s="530" t="s">
        <v>219</v>
      </c>
      <c r="C402" s="530" t="str">
        <f t="shared" si="13"/>
        <v>2018.Vehicle Numbers.SFR</v>
      </c>
      <c r="D402" s="530" t="s">
        <v>238</v>
      </c>
      <c r="E402" s="530" t="s">
        <v>22</v>
      </c>
      <c r="F402" s="530" t="s">
        <v>18</v>
      </c>
      <c r="G402" s="530" t="s">
        <v>18</v>
      </c>
      <c r="H402" s="530">
        <v>7.9307372727272725</v>
      </c>
      <c r="I402" s="530">
        <v>3.1722949090909087</v>
      </c>
      <c r="J402" s="530">
        <v>3.5247721212121208</v>
      </c>
      <c r="K402" s="530">
        <v>6.6970670303030291</v>
      </c>
      <c r="L402" s="530">
        <v>5.2871581818181808</v>
      </c>
      <c r="M402" s="530">
        <v>4.266736652727273</v>
      </c>
      <c r="N402" s="530">
        <v>5.815874</v>
      </c>
      <c r="O402" s="530">
        <v>5.9198547775757566</v>
      </c>
      <c r="P402" s="530">
        <v>3.6534263036363637</v>
      </c>
      <c r="Q402" s="530">
        <v>3.7010107272727266</v>
      </c>
      <c r="R402" s="530">
        <v>3.0401159545454539</v>
      </c>
      <c r="S402" s="530">
        <v>6.8733056363636367</v>
      </c>
      <c r="T402" s="530">
        <v>59.88235356727273</v>
      </c>
      <c r="U402" s="530" t="s">
        <v>61</v>
      </c>
    </row>
    <row r="403" spans="1:21" ht="13.8" x14ac:dyDescent="0.3">
      <c r="A403" s="530" t="str">
        <f t="shared" si="12"/>
        <v>Gwynedd.2018.Vehicle Numbers.Day Visitor</v>
      </c>
      <c r="B403" s="530" t="s">
        <v>219</v>
      </c>
      <c r="C403" s="530" t="str">
        <f t="shared" si="13"/>
        <v>2018.Vehicle Numbers.Day Visitor</v>
      </c>
      <c r="D403" s="530" t="s">
        <v>238</v>
      </c>
      <c r="E403" s="530" t="s">
        <v>22</v>
      </c>
      <c r="F403" s="530" t="s">
        <v>71</v>
      </c>
      <c r="G403" s="530" t="s">
        <v>71</v>
      </c>
      <c r="H403" s="530">
        <v>8.4984146184135128</v>
      </c>
      <c r="I403" s="530">
        <v>25.083064107564162</v>
      </c>
      <c r="J403" s="530">
        <v>71.11015315770004</v>
      </c>
      <c r="K403" s="530">
        <v>92.543809662598733</v>
      </c>
      <c r="L403" s="530">
        <v>99.13128972870085</v>
      </c>
      <c r="M403" s="530">
        <v>152.53492314198618</v>
      </c>
      <c r="N403" s="530">
        <v>111.97043889281781</v>
      </c>
      <c r="O403" s="530">
        <v>148.7491742499875</v>
      </c>
      <c r="P403" s="530">
        <v>66.798025018031353</v>
      </c>
      <c r="Q403" s="530">
        <v>66.653801373925447</v>
      </c>
      <c r="R403" s="530">
        <v>21.431612112211035</v>
      </c>
      <c r="S403" s="530">
        <v>14.069079620348527</v>
      </c>
      <c r="T403" s="530">
        <v>878.5737856842851</v>
      </c>
      <c r="U403" s="530" t="s">
        <v>61</v>
      </c>
    </row>
    <row r="404" spans="1:21" ht="13.8" x14ac:dyDescent="0.3">
      <c r="A404" s="530" t="str">
        <f t="shared" si="12"/>
        <v>Gwynedd.2018.Vehicle Numbers.Total</v>
      </c>
      <c r="B404" s="530" t="s">
        <v>219</v>
      </c>
      <c r="C404" s="530" t="str">
        <f t="shared" si="13"/>
        <v>2018.Vehicle Numbers.Total</v>
      </c>
      <c r="D404" s="530" t="s">
        <v>238</v>
      </c>
      <c r="E404" s="530" t="s">
        <v>22</v>
      </c>
      <c r="F404" s="530" t="s">
        <v>54</v>
      </c>
      <c r="G404" s="530" t="s">
        <v>54</v>
      </c>
      <c r="H404" s="530">
        <v>60.726864662899942</v>
      </c>
      <c r="I404" s="530">
        <v>84.405112271812413</v>
      </c>
      <c r="J404" s="530">
        <v>184.97196294562031</v>
      </c>
      <c r="K404" s="530">
        <v>169.0200907080507</v>
      </c>
      <c r="L404" s="530">
        <v>191.38248245420033</v>
      </c>
      <c r="M404" s="530">
        <v>258.25045594793744</v>
      </c>
      <c r="N404" s="530">
        <v>224.02768694153042</v>
      </c>
      <c r="O404" s="530">
        <v>266.62894565235018</v>
      </c>
      <c r="P404" s="530">
        <v>159.36055193945296</v>
      </c>
      <c r="Q404" s="530">
        <v>147.673585983697</v>
      </c>
      <c r="R404" s="530">
        <v>85.572065229687524</v>
      </c>
      <c r="S404" s="530">
        <v>51.117725372272169</v>
      </c>
      <c r="T404" s="530">
        <v>1883.1375301095113</v>
      </c>
      <c r="U404" s="530" t="s">
        <v>61</v>
      </c>
    </row>
    <row r="405" spans="1:21" ht="13.8" x14ac:dyDescent="0.3">
      <c r="A405" s="530" t="str">
        <f t="shared" si="12"/>
        <v>Gwynedd.2018.Accommodation.Serviced Accommodation</v>
      </c>
      <c r="B405" s="530" t="s">
        <v>219</v>
      </c>
      <c r="C405" s="530" t="str">
        <f t="shared" si="13"/>
        <v>2018.Accommodation.Serviced Accommodation</v>
      </c>
      <c r="D405" s="530" t="s">
        <v>238</v>
      </c>
      <c r="E405" s="530" t="s">
        <v>23</v>
      </c>
      <c r="F405" s="530" t="s">
        <v>43</v>
      </c>
      <c r="G405" s="530" t="s">
        <v>43</v>
      </c>
      <c r="H405" s="530">
        <v>5901</v>
      </c>
      <c r="I405" s="530">
        <v>6048</v>
      </c>
      <c r="J405" s="530">
        <v>6286</v>
      </c>
      <c r="K405" s="530">
        <v>6364</v>
      </c>
      <c r="L405" s="530">
        <v>6376</v>
      </c>
      <c r="M405" s="530">
        <v>6376</v>
      </c>
      <c r="N405" s="530">
        <v>6376</v>
      </c>
      <c r="O405" s="530">
        <v>6376</v>
      </c>
      <c r="P405" s="530">
        <v>6376</v>
      </c>
      <c r="Q405" s="530">
        <v>6359</v>
      </c>
      <c r="R405" s="530">
        <v>6176</v>
      </c>
      <c r="S405" s="530">
        <v>6143</v>
      </c>
      <c r="T405" s="530">
        <v>6376</v>
      </c>
      <c r="U405" s="530" t="s">
        <v>58</v>
      </c>
    </row>
    <row r="406" spans="1:21" ht="13.8" x14ac:dyDescent="0.3">
      <c r="A406" s="530" t="str">
        <f t="shared" si="12"/>
        <v>Gwynedd.2018.Accommodation.Non-Serviced Accommodation</v>
      </c>
      <c r="B406" s="530" t="s">
        <v>219</v>
      </c>
      <c r="C406" s="530" t="str">
        <f t="shared" si="13"/>
        <v>2018.Accommodation.Non-Serviced Accommodation</v>
      </c>
      <c r="D406" s="530" t="s">
        <v>238</v>
      </c>
      <c r="E406" s="530" t="s">
        <v>23</v>
      </c>
      <c r="F406" s="530" t="s">
        <v>48</v>
      </c>
      <c r="G406" s="530" t="s">
        <v>48</v>
      </c>
      <c r="H406" s="530">
        <v>43589.13580312422</v>
      </c>
      <c r="I406" s="530">
        <v>41731.158419727486</v>
      </c>
      <c r="J406" s="530">
        <v>94351.009549497248</v>
      </c>
      <c r="K406" s="530">
        <v>100219.62197527222</v>
      </c>
      <c r="L406" s="530">
        <v>98179.172364223559</v>
      </c>
      <c r="M406" s="530">
        <v>100079.12678701988</v>
      </c>
      <c r="N406" s="530">
        <v>99555.564584585736</v>
      </c>
      <c r="O406" s="530">
        <v>99564.243034439365</v>
      </c>
      <c r="P406" s="530">
        <v>101346.69825192314</v>
      </c>
      <c r="Q406" s="530">
        <v>100221.98586421466</v>
      </c>
      <c r="R406" s="530">
        <v>59842.107876046146</v>
      </c>
      <c r="S406" s="530">
        <v>53010.379151366535</v>
      </c>
      <c r="T406" s="530">
        <v>101346.69825192314</v>
      </c>
      <c r="U406" s="530" t="s">
        <v>58</v>
      </c>
    </row>
    <row r="407" spans="1:21" ht="13.8" x14ac:dyDescent="0.3">
      <c r="A407" s="530" t="str">
        <f t="shared" si="12"/>
        <v>Gwynedd.2018.Accommodation.Total</v>
      </c>
      <c r="B407" s="530" t="s">
        <v>219</v>
      </c>
      <c r="C407" s="530" t="str">
        <f t="shared" si="13"/>
        <v>2018.Accommodation.Total</v>
      </c>
      <c r="D407" s="530" t="s">
        <v>238</v>
      </c>
      <c r="E407" s="530" t="s">
        <v>23</v>
      </c>
      <c r="F407" s="530" t="s">
        <v>54</v>
      </c>
      <c r="G407" s="530" t="s">
        <v>54</v>
      </c>
      <c r="H407" s="530">
        <v>49490.13580312422</v>
      </c>
      <c r="I407" s="530">
        <v>47779.158419727486</v>
      </c>
      <c r="J407" s="530">
        <v>100637.00954949725</v>
      </c>
      <c r="K407" s="530">
        <v>106583.62197527222</v>
      </c>
      <c r="L407" s="530">
        <v>104555.17236422356</v>
      </c>
      <c r="M407" s="530">
        <v>106455.12678701988</v>
      </c>
      <c r="N407" s="530">
        <v>105931.56458458574</v>
      </c>
      <c r="O407" s="530">
        <v>105940.24303443937</v>
      </c>
      <c r="P407" s="530">
        <v>107722.69825192314</v>
      </c>
      <c r="Q407" s="530">
        <v>106580.98586421466</v>
      </c>
      <c r="R407" s="530">
        <v>66018.107876046153</v>
      </c>
      <c r="S407" s="530">
        <v>59153.379151366535</v>
      </c>
      <c r="T407" s="530">
        <v>107722.69825192314</v>
      </c>
      <c r="U407" s="530" t="s">
        <v>58</v>
      </c>
    </row>
    <row r="408" spans="1:21" ht="13.8" x14ac:dyDescent="0.3">
      <c r="A408" s="530" t="str">
        <f t="shared" si="12"/>
        <v>Gwynedd.2018.Economic Impact.Total</v>
      </c>
      <c r="B408" s="530" t="s">
        <v>219</v>
      </c>
      <c r="C408" s="530" t="str">
        <f t="shared" si="13"/>
        <v>2018.Economic Impact.Total</v>
      </c>
      <c r="D408" s="530" t="s">
        <v>238</v>
      </c>
      <c r="E408" s="530" t="s">
        <v>17</v>
      </c>
      <c r="F408" s="530" t="s">
        <v>54</v>
      </c>
      <c r="G408" s="530" t="s">
        <v>54</v>
      </c>
      <c r="H408" s="530">
        <v>32383.826992515846</v>
      </c>
      <c r="I408" s="530">
        <v>40236.719074680077</v>
      </c>
      <c r="J408" s="530">
        <v>102039.98523627149</v>
      </c>
      <c r="K408" s="530">
        <v>95051.941765128737</v>
      </c>
      <c r="L408" s="530">
        <v>114983.33149690463</v>
      </c>
      <c r="M408" s="530">
        <v>138713.90016461132</v>
      </c>
      <c r="N408" s="530">
        <v>162459.6748667451</v>
      </c>
      <c r="O408" s="530">
        <v>193437.82516720428</v>
      </c>
      <c r="P408" s="530">
        <v>129388.55927300607</v>
      </c>
      <c r="Q408" s="530">
        <v>100309.05525565252</v>
      </c>
      <c r="R408" s="530">
        <v>56418.249143250374</v>
      </c>
      <c r="S408" s="530">
        <v>37109.393986106668</v>
      </c>
      <c r="T408" s="530">
        <v>1202532.4624220768</v>
      </c>
      <c r="U408" s="530" t="s">
        <v>57</v>
      </c>
    </row>
    <row r="409" spans="1:21" ht="13.8" x14ac:dyDescent="0.3">
      <c r="A409" s="530" t="str">
        <f t="shared" si="12"/>
        <v>Gwynedd.2019.Economic Impact.Indirect Expenditure</v>
      </c>
      <c r="B409" s="530" t="s">
        <v>219</v>
      </c>
      <c r="C409" s="530" t="str">
        <f t="shared" si="13"/>
        <v>2019.Economic Impact.Indirect Expenditure</v>
      </c>
      <c r="D409" s="530" t="s">
        <v>239</v>
      </c>
      <c r="E409" s="530" t="s">
        <v>17</v>
      </c>
      <c r="F409" s="530" t="s">
        <v>45</v>
      </c>
      <c r="G409" s="530" t="s">
        <v>45</v>
      </c>
      <c r="H409" s="530">
        <v>10493.487995897338</v>
      </c>
      <c r="I409" s="530">
        <v>12527.33714400501</v>
      </c>
      <c r="J409" s="530">
        <v>29257.534204632473</v>
      </c>
      <c r="K409" s="530">
        <v>31350.300755715492</v>
      </c>
      <c r="L409" s="530">
        <v>36273.934052480137</v>
      </c>
      <c r="M409" s="530">
        <v>39238.42414237748</v>
      </c>
      <c r="N409" s="530">
        <v>46823.323275527051</v>
      </c>
      <c r="O409" s="530">
        <v>54227.760914921222</v>
      </c>
      <c r="P409" s="530">
        <v>38207.586458456106</v>
      </c>
      <c r="Q409" s="530">
        <v>28937.970568636545</v>
      </c>
      <c r="R409" s="530">
        <v>16329.636680157164</v>
      </c>
      <c r="S409" s="530">
        <v>16165.063493921563</v>
      </c>
      <c r="T409" s="530">
        <v>359832.35968672758</v>
      </c>
      <c r="U409" s="530" t="s">
        <v>57</v>
      </c>
    </row>
    <row r="410" spans="1:21" ht="13.8" x14ac:dyDescent="0.3">
      <c r="A410" s="530" t="str">
        <f t="shared" si="12"/>
        <v>Gwynedd.2019.Economic Impact.Direct Revenue</v>
      </c>
      <c r="B410" s="530" t="s">
        <v>219</v>
      </c>
      <c r="C410" s="530" t="str">
        <f t="shared" si="13"/>
        <v>2019.Economic Impact.Direct Revenue</v>
      </c>
      <c r="D410" s="530" t="s">
        <v>239</v>
      </c>
      <c r="E410" s="530" t="s">
        <v>17</v>
      </c>
      <c r="F410" s="530" t="s">
        <v>46</v>
      </c>
      <c r="G410" s="530" t="s">
        <v>46</v>
      </c>
      <c r="H410" s="530">
        <v>23147.410021372034</v>
      </c>
      <c r="I410" s="530">
        <v>27904.396502971977</v>
      </c>
      <c r="J410" s="530">
        <v>69358.46920794723</v>
      </c>
      <c r="K410" s="530">
        <v>71908.624079573725</v>
      </c>
      <c r="L410" s="530">
        <v>83552.655343796418</v>
      </c>
      <c r="M410" s="530">
        <v>90905.977460765629</v>
      </c>
      <c r="N410" s="530">
        <v>108204.0460405387</v>
      </c>
      <c r="O410" s="530">
        <v>125361.08162132578</v>
      </c>
      <c r="P410" s="530">
        <v>87467.29197186805</v>
      </c>
      <c r="Q410" s="530">
        <v>66341.194762831845</v>
      </c>
      <c r="R410" s="530">
        <v>36638.626795234712</v>
      </c>
      <c r="S410" s="530">
        <v>35371.47867788544</v>
      </c>
      <c r="T410" s="530">
        <v>826161.2524861116</v>
      </c>
      <c r="U410" s="530" t="s">
        <v>57</v>
      </c>
    </row>
    <row r="411" spans="1:21" ht="13.8" x14ac:dyDescent="0.3">
      <c r="A411" s="530" t="str">
        <f t="shared" si="12"/>
        <v>Gwynedd.2019.Economic Impact.VAT</v>
      </c>
      <c r="B411" s="530" t="s">
        <v>219</v>
      </c>
      <c r="C411" s="530" t="str">
        <f t="shared" si="13"/>
        <v>2019.Economic Impact.VAT</v>
      </c>
      <c r="D411" s="530" t="s">
        <v>239</v>
      </c>
      <c r="E411" s="530" t="s">
        <v>17</v>
      </c>
      <c r="F411" s="530" t="s">
        <v>47</v>
      </c>
      <c r="G411" s="530" t="s">
        <v>47</v>
      </c>
      <c r="H411" s="530">
        <v>4629.4820042744077</v>
      </c>
      <c r="I411" s="530">
        <v>5580.8793005943953</v>
      </c>
      <c r="J411" s="530">
        <v>13871.693841589446</v>
      </c>
      <c r="K411" s="530">
        <v>14381.724815914748</v>
      </c>
      <c r="L411" s="530">
        <v>16710.531068759283</v>
      </c>
      <c r="M411" s="530">
        <v>18181.195492153129</v>
      </c>
      <c r="N411" s="530">
        <v>21640.809208107741</v>
      </c>
      <c r="O411" s="530">
        <v>25072.216324265159</v>
      </c>
      <c r="P411" s="530">
        <v>17493.458394373611</v>
      </c>
      <c r="Q411" s="530">
        <v>13268.238952566369</v>
      </c>
      <c r="R411" s="530">
        <v>7327.7253590469427</v>
      </c>
      <c r="S411" s="530">
        <v>7074.2957355770877</v>
      </c>
      <c r="T411" s="530">
        <v>165232.25049722233</v>
      </c>
      <c r="U411" s="530" t="s">
        <v>57</v>
      </c>
    </row>
    <row r="412" spans="1:21" ht="13.8" x14ac:dyDescent="0.3">
      <c r="A412" s="530" t="str">
        <f t="shared" si="12"/>
        <v>Gwynedd.2019.Economic Impact.Serviced Accommodation</v>
      </c>
      <c r="B412" s="530" t="s">
        <v>219</v>
      </c>
      <c r="C412" s="530" t="str">
        <f t="shared" si="13"/>
        <v>2019.Economic Impact.Serviced Accommodation</v>
      </c>
      <c r="D412" s="530" t="s">
        <v>239</v>
      </c>
      <c r="E412" s="530" t="s">
        <v>17</v>
      </c>
      <c r="F412" s="530" t="s">
        <v>43</v>
      </c>
      <c r="G412" s="530" t="s">
        <v>43</v>
      </c>
      <c r="H412" s="530">
        <v>3287.5882360069236</v>
      </c>
      <c r="I412" s="530">
        <v>4885.7288991669357</v>
      </c>
      <c r="J412" s="530">
        <v>6030.2312081807195</v>
      </c>
      <c r="K412" s="530">
        <v>7922.4106938580189</v>
      </c>
      <c r="L412" s="530">
        <v>10055.176187106776</v>
      </c>
      <c r="M412" s="530">
        <v>10844.064956093658</v>
      </c>
      <c r="N412" s="530">
        <v>16426.272764652927</v>
      </c>
      <c r="O412" s="530">
        <v>17447.618041667822</v>
      </c>
      <c r="P412" s="530">
        <v>14257.811328271824</v>
      </c>
      <c r="Q412" s="530">
        <v>7597.3059458747848</v>
      </c>
      <c r="R412" s="530">
        <v>4607.6366854108073</v>
      </c>
      <c r="S412" s="530">
        <v>4189.9841704293385</v>
      </c>
      <c r="T412" s="530">
        <v>107551.82911672053</v>
      </c>
      <c r="U412" s="530" t="s">
        <v>57</v>
      </c>
    </row>
    <row r="413" spans="1:21" ht="13.8" x14ac:dyDescent="0.3">
      <c r="A413" s="530" t="str">
        <f t="shared" si="12"/>
        <v>Gwynedd.2019.Economic Impact.Non-Serviced Accommodation</v>
      </c>
      <c r="B413" s="530" t="s">
        <v>219</v>
      </c>
      <c r="C413" s="530" t="str">
        <f t="shared" si="13"/>
        <v>2019.Economic Impact.Non-Serviced Accommodation</v>
      </c>
      <c r="D413" s="530" t="s">
        <v>239</v>
      </c>
      <c r="E413" s="530" t="s">
        <v>17</v>
      </c>
      <c r="F413" s="530" t="s">
        <v>48</v>
      </c>
      <c r="G413" s="530" t="s">
        <v>48</v>
      </c>
      <c r="H413" s="530">
        <v>30590.514846414433</v>
      </c>
      <c r="I413" s="530">
        <v>35289.315925429255</v>
      </c>
      <c r="J413" s="530">
        <v>92691.161318350118</v>
      </c>
      <c r="K413" s="530">
        <v>82558.086897980858</v>
      </c>
      <c r="L413" s="530">
        <v>101049.5414228617</v>
      </c>
      <c r="M413" s="530">
        <v>108809.11887167867</v>
      </c>
      <c r="N413" s="530">
        <v>134988.01949458758</v>
      </c>
      <c r="O413" s="530">
        <v>152829.0002541701</v>
      </c>
      <c r="P413" s="530">
        <v>113901.91130185442</v>
      </c>
      <c r="Q413" s="530">
        <v>88205.439060244185</v>
      </c>
      <c r="R413" s="530">
        <v>50764.038961521335</v>
      </c>
      <c r="S413" s="530">
        <v>48955.000156112386</v>
      </c>
      <c r="T413" s="530">
        <v>1040631.148511205</v>
      </c>
      <c r="U413" s="530" t="s">
        <v>57</v>
      </c>
    </row>
    <row r="414" spans="1:21" ht="13.8" x14ac:dyDescent="0.3">
      <c r="A414" s="530" t="str">
        <f t="shared" si="12"/>
        <v>Gwynedd.2019.Economic Impact.SFR</v>
      </c>
      <c r="B414" s="530" t="s">
        <v>219</v>
      </c>
      <c r="C414" s="530" t="str">
        <f t="shared" si="13"/>
        <v>2019.Economic Impact.SFR</v>
      </c>
      <c r="D414" s="530" t="s">
        <v>239</v>
      </c>
      <c r="E414" s="530" t="s">
        <v>17</v>
      </c>
      <c r="F414" s="530" t="s">
        <v>18</v>
      </c>
      <c r="G414" s="530" t="s">
        <v>18</v>
      </c>
      <c r="H414" s="530">
        <v>2225.2901682662437</v>
      </c>
      <c r="I414" s="530">
        <v>747.69749653745794</v>
      </c>
      <c r="J414" s="530">
        <v>850.55535320398644</v>
      </c>
      <c r="K414" s="530">
        <v>2029.464633458814</v>
      </c>
      <c r="L414" s="530">
        <v>1305.5035653828631</v>
      </c>
      <c r="M414" s="530">
        <v>1005.6531328428808</v>
      </c>
      <c r="N414" s="530">
        <v>1631.8794567285786</v>
      </c>
      <c r="O414" s="530">
        <v>1727.4977027143482</v>
      </c>
      <c r="P414" s="530">
        <v>889.8015596293825</v>
      </c>
      <c r="Q414" s="530">
        <v>888.92924588342191</v>
      </c>
      <c r="R414" s="530">
        <v>692.65865304233921</v>
      </c>
      <c r="S414" s="530">
        <v>2005.7282049973073</v>
      </c>
      <c r="T414" s="530">
        <v>16000.659172687625</v>
      </c>
      <c r="U414" s="530" t="s">
        <v>57</v>
      </c>
    </row>
    <row r="415" spans="1:21" ht="13.8" x14ac:dyDescent="0.3">
      <c r="A415" s="530" t="str">
        <f t="shared" si="12"/>
        <v>Gwynedd.2019.Economic Impact.Day Visitor</v>
      </c>
      <c r="B415" s="530" t="s">
        <v>219</v>
      </c>
      <c r="C415" s="530" t="str">
        <f t="shared" si="13"/>
        <v>2019.Economic Impact.Day Visitor</v>
      </c>
      <c r="D415" s="530" t="s">
        <v>239</v>
      </c>
      <c r="E415" s="530" t="s">
        <v>17</v>
      </c>
      <c r="F415" s="530" t="s">
        <v>71</v>
      </c>
      <c r="G415" s="530" t="s">
        <v>71</v>
      </c>
      <c r="H415" s="530">
        <v>2166.9867708561815</v>
      </c>
      <c r="I415" s="530">
        <v>5089.8706264377361</v>
      </c>
      <c r="J415" s="530">
        <v>12915.74937443433</v>
      </c>
      <c r="K415" s="530">
        <v>25130.687425906261</v>
      </c>
      <c r="L415" s="530">
        <v>24126.899289684479</v>
      </c>
      <c r="M415" s="530">
        <v>27666.76013468103</v>
      </c>
      <c r="N415" s="530">
        <v>23622.006808204402</v>
      </c>
      <c r="O415" s="530">
        <v>32656.942861959884</v>
      </c>
      <c r="P415" s="530">
        <v>14118.812634942138</v>
      </c>
      <c r="Q415" s="530">
        <v>11855.73003203235</v>
      </c>
      <c r="R415" s="530">
        <v>4231.6545344643346</v>
      </c>
      <c r="S415" s="530">
        <v>3460.1253758450548</v>
      </c>
      <c r="T415" s="530">
        <v>187042.22586944819</v>
      </c>
      <c r="U415" s="530" t="s">
        <v>57</v>
      </c>
    </row>
    <row r="416" spans="1:21" ht="13.8" x14ac:dyDescent="0.3">
      <c r="A416" s="530" t="str">
        <f t="shared" si="12"/>
        <v>Gwynedd.2019.Economic Impact.Accommodation</v>
      </c>
      <c r="B416" s="530" t="s">
        <v>219</v>
      </c>
      <c r="C416" s="530" t="str">
        <f t="shared" si="13"/>
        <v>2019.Economic Impact.Accommodation</v>
      </c>
      <c r="D416" s="530" t="s">
        <v>239</v>
      </c>
      <c r="E416" s="530" t="s">
        <v>17</v>
      </c>
      <c r="F416" s="530" t="s">
        <v>23</v>
      </c>
      <c r="G416" s="530" t="s">
        <v>23</v>
      </c>
      <c r="H416" s="530">
        <v>6236.9468365155763</v>
      </c>
      <c r="I416" s="530">
        <v>7688.4247923042376</v>
      </c>
      <c r="J416" s="530">
        <v>14663.138199323785</v>
      </c>
      <c r="K416" s="530">
        <v>17705.249218850797</v>
      </c>
      <c r="L416" s="530">
        <v>20271.870883655643</v>
      </c>
      <c r="M416" s="530">
        <v>22130.331353493839</v>
      </c>
      <c r="N416" s="530">
        <v>34246.278665217244</v>
      </c>
      <c r="O416" s="530">
        <v>37952.340409268822</v>
      </c>
      <c r="P416" s="530">
        <v>30662.207894621242</v>
      </c>
      <c r="Q416" s="530">
        <v>16538.709718910937</v>
      </c>
      <c r="R416" s="530">
        <v>12163.437591006421</v>
      </c>
      <c r="S416" s="530">
        <v>13340.193433125511</v>
      </c>
      <c r="T416" s="530">
        <v>233599.12899629408</v>
      </c>
      <c r="U416" s="530" t="s">
        <v>57</v>
      </c>
    </row>
    <row r="417" spans="1:21" ht="13.8" x14ac:dyDescent="0.3">
      <c r="A417" s="530" t="str">
        <f t="shared" si="12"/>
        <v>Gwynedd.2019.Economic Impact.Food &amp; Drink</v>
      </c>
      <c r="B417" s="530" t="s">
        <v>219</v>
      </c>
      <c r="C417" s="530" t="str">
        <f t="shared" si="13"/>
        <v>2019.Economic Impact.Food &amp; Drink</v>
      </c>
      <c r="D417" s="530" t="s">
        <v>239</v>
      </c>
      <c r="E417" s="530" t="s">
        <v>17</v>
      </c>
      <c r="F417" s="530" t="s">
        <v>49</v>
      </c>
      <c r="G417" s="530" t="s">
        <v>49</v>
      </c>
      <c r="H417" s="530">
        <v>5442.256679558167</v>
      </c>
      <c r="I417" s="530">
        <v>6231.1142376885045</v>
      </c>
      <c r="J417" s="530">
        <v>17071.052803245853</v>
      </c>
      <c r="K417" s="530">
        <v>16958.250159533349</v>
      </c>
      <c r="L417" s="530">
        <v>19959.562589494886</v>
      </c>
      <c r="M417" s="530">
        <v>21527.217642283547</v>
      </c>
      <c r="N417" s="530">
        <v>23982.643344345921</v>
      </c>
      <c r="O417" s="530">
        <v>27745.301934783092</v>
      </c>
      <c r="P417" s="530">
        <v>18484.027462436512</v>
      </c>
      <c r="Q417" s="530">
        <v>16135.827893196083</v>
      </c>
      <c r="R417" s="530">
        <v>8119.049980556003</v>
      </c>
      <c r="S417" s="530">
        <v>7448.2809766057235</v>
      </c>
      <c r="T417" s="530">
        <v>189104.58570372767</v>
      </c>
      <c r="U417" s="530" t="s">
        <v>57</v>
      </c>
    </row>
    <row r="418" spans="1:21" ht="13.8" x14ac:dyDescent="0.3">
      <c r="A418" s="530" t="str">
        <f t="shared" si="12"/>
        <v>Gwynedd.2019.Economic Impact.Recreation</v>
      </c>
      <c r="B418" s="530" t="s">
        <v>219</v>
      </c>
      <c r="C418" s="530" t="str">
        <f t="shared" si="13"/>
        <v>2019.Economic Impact.Recreation</v>
      </c>
      <c r="D418" s="530" t="s">
        <v>239</v>
      </c>
      <c r="E418" s="530" t="s">
        <v>17</v>
      </c>
      <c r="F418" s="530" t="s">
        <v>50</v>
      </c>
      <c r="G418" s="530" t="s">
        <v>50</v>
      </c>
      <c r="H418" s="530">
        <v>1606.5407348994645</v>
      </c>
      <c r="I418" s="530">
        <v>2075.7386041106674</v>
      </c>
      <c r="J418" s="530">
        <v>7402.9110379007097</v>
      </c>
      <c r="K418" s="530">
        <v>5565.9591251611291</v>
      </c>
      <c r="L418" s="530">
        <v>6809.8846606621419</v>
      </c>
      <c r="M418" s="530">
        <v>7758.2585234965063</v>
      </c>
      <c r="N418" s="530">
        <v>7979.5335115569824</v>
      </c>
      <c r="O418" s="530">
        <v>9484.0820400422253</v>
      </c>
      <c r="P418" s="530">
        <v>6450.6240724507397</v>
      </c>
      <c r="Q418" s="530">
        <v>5730.341636740508</v>
      </c>
      <c r="R418" s="530">
        <v>2986.3586584938494</v>
      </c>
      <c r="S418" s="530">
        <v>2571.4857765169145</v>
      </c>
      <c r="T418" s="530">
        <v>66421.718382031831</v>
      </c>
      <c r="U418" s="530" t="s">
        <v>57</v>
      </c>
    </row>
    <row r="419" spans="1:21" ht="13.8" x14ac:dyDescent="0.3">
      <c r="A419" s="530" t="str">
        <f t="shared" si="12"/>
        <v>Gwynedd.2019.Economic Impact.Shopping</v>
      </c>
      <c r="B419" s="530" t="s">
        <v>219</v>
      </c>
      <c r="C419" s="530" t="str">
        <f t="shared" si="13"/>
        <v>2019.Economic Impact.Shopping</v>
      </c>
      <c r="D419" s="530" t="s">
        <v>239</v>
      </c>
      <c r="E419" s="530" t="s">
        <v>17</v>
      </c>
      <c r="F419" s="530" t="s">
        <v>51</v>
      </c>
      <c r="G419" s="530" t="s">
        <v>51</v>
      </c>
      <c r="H419" s="530">
        <v>7510.8524824371398</v>
      </c>
      <c r="I419" s="530">
        <v>9029.0224152904266</v>
      </c>
      <c r="J419" s="530">
        <v>21618.080214690213</v>
      </c>
      <c r="K419" s="530">
        <v>23788.596337331073</v>
      </c>
      <c r="L419" s="530">
        <v>27152.72215687206</v>
      </c>
      <c r="M419" s="530">
        <v>29210.013437425474</v>
      </c>
      <c r="N419" s="530">
        <v>30979.333622254861</v>
      </c>
      <c r="O419" s="530">
        <v>37203.069640625377</v>
      </c>
      <c r="P419" s="530">
        <v>23341.711119056799</v>
      </c>
      <c r="Q419" s="530">
        <v>20411.733410866764</v>
      </c>
      <c r="R419" s="530">
        <v>9661.4610398514415</v>
      </c>
      <c r="S419" s="530">
        <v>8760.7340593441149</v>
      </c>
      <c r="T419" s="530">
        <v>248667.32993604575</v>
      </c>
      <c r="U419" s="530" t="s">
        <v>57</v>
      </c>
    </row>
    <row r="420" spans="1:21" ht="13.8" x14ac:dyDescent="0.3">
      <c r="A420" s="530" t="str">
        <f t="shared" si="12"/>
        <v>Gwynedd.2019.Economic Impact.Transport</v>
      </c>
      <c r="B420" s="530" t="s">
        <v>219</v>
      </c>
      <c r="C420" s="530" t="str">
        <f t="shared" si="13"/>
        <v>2019.Economic Impact.Transport</v>
      </c>
      <c r="D420" s="530" t="s">
        <v>239</v>
      </c>
      <c r="E420" s="530" t="s">
        <v>17</v>
      </c>
      <c r="F420" s="530" t="s">
        <v>52</v>
      </c>
      <c r="G420" s="530" t="s">
        <v>52</v>
      </c>
      <c r="H420" s="530">
        <v>2350.813287961686</v>
      </c>
      <c r="I420" s="530">
        <v>2880.0964535781404</v>
      </c>
      <c r="J420" s="530">
        <v>8603.286952786666</v>
      </c>
      <c r="K420" s="530">
        <v>7890.5692386973824</v>
      </c>
      <c r="L420" s="530">
        <v>9358.6150531116855</v>
      </c>
      <c r="M420" s="530">
        <v>10280.15650406627</v>
      </c>
      <c r="N420" s="530">
        <v>11016.256897163697</v>
      </c>
      <c r="O420" s="530">
        <v>12976.287596606278</v>
      </c>
      <c r="P420" s="530">
        <v>8528.7214233027589</v>
      </c>
      <c r="Q420" s="530">
        <v>7524.5821031175446</v>
      </c>
      <c r="R420" s="530">
        <v>3708.3195253269942</v>
      </c>
      <c r="S420" s="530">
        <v>3250.7844322931714</v>
      </c>
      <c r="T420" s="530">
        <v>88368.489468012282</v>
      </c>
      <c r="U420" s="530" t="s">
        <v>57</v>
      </c>
    </row>
    <row r="421" spans="1:21" ht="13.8" x14ac:dyDescent="0.3">
      <c r="A421" s="530" t="str">
        <f t="shared" si="12"/>
        <v>Gwynedd.2019.Economic Impact.Direct Expenditure</v>
      </c>
      <c r="B421" s="530" t="s">
        <v>219</v>
      </c>
      <c r="C421" s="530" t="str">
        <f t="shared" si="13"/>
        <v>2019.Economic Impact.Direct Expenditure</v>
      </c>
      <c r="D421" s="530" t="s">
        <v>239</v>
      </c>
      <c r="E421" s="530" t="s">
        <v>17</v>
      </c>
      <c r="F421" s="530" t="s">
        <v>44</v>
      </c>
      <c r="G421" s="530" t="s">
        <v>44</v>
      </c>
      <c r="H421" s="530">
        <v>27776.892025646444</v>
      </c>
      <c r="I421" s="530">
        <v>33485.275803566372</v>
      </c>
      <c r="J421" s="530">
        <v>83230.16304953667</v>
      </c>
      <c r="K421" s="530">
        <v>86290.348895488452</v>
      </c>
      <c r="L421" s="530">
        <v>100263.18641255569</v>
      </c>
      <c r="M421" s="530">
        <v>109087.17295291876</v>
      </c>
      <c r="N421" s="530">
        <v>129844.85524864643</v>
      </c>
      <c r="O421" s="530">
        <v>150433.29794559095</v>
      </c>
      <c r="P421" s="530">
        <v>104960.75036624167</v>
      </c>
      <c r="Q421" s="530">
        <v>79609.433715398205</v>
      </c>
      <c r="R421" s="530">
        <v>43966.352154281652</v>
      </c>
      <c r="S421" s="530">
        <v>42445.774413462525</v>
      </c>
      <c r="T421" s="530">
        <v>991393.50298333378</v>
      </c>
      <c r="U421" s="530" t="s">
        <v>57</v>
      </c>
    </row>
    <row r="422" spans="1:21" ht="13.8" x14ac:dyDescent="0.3">
      <c r="A422" s="530" t="str">
        <f t="shared" si="12"/>
        <v>Gwynedd.2019.Population.Total</v>
      </c>
      <c r="B422" s="530" t="s">
        <v>219</v>
      </c>
      <c r="C422" s="530" t="str">
        <f t="shared" si="13"/>
        <v>2019.Population.Total</v>
      </c>
      <c r="D422" s="530" t="s">
        <v>239</v>
      </c>
      <c r="E422" s="530" t="s">
        <v>19</v>
      </c>
      <c r="F422" s="530" t="s">
        <v>54</v>
      </c>
      <c r="G422" s="530" t="s">
        <v>54</v>
      </c>
      <c r="H422" s="530">
        <v>124178</v>
      </c>
      <c r="I422" s="530">
        <v>124178</v>
      </c>
      <c r="J422" s="530">
        <v>124178</v>
      </c>
      <c r="K422" s="530">
        <v>124178</v>
      </c>
      <c r="L422" s="530">
        <v>124178</v>
      </c>
      <c r="M422" s="530">
        <v>124178</v>
      </c>
      <c r="N422" s="530">
        <v>124178</v>
      </c>
      <c r="O422" s="530">
        <v>124178</v>
      </c>
      <c r="P422" s="530">
        <v>124178</v>
      </c>
      <c r="Q422" s="530">
        <v>124178</v>
      </c>
      <c r="R422" s="530">
        <v>124178</v>
      </c>
      <c r="S422" s="530">
        <v>124178</v>
      </c>
      <c r="T422" s="530">
        <v>124178</v>
      </c>
      <c r="U422" s="530" t="s">
        <v>60</v>
      </c>
    </row>
    <row r="423" spans="1:21" ht="13.8" x14ac:dyDescent="0.3">
      <c r="A423" s="530" t="str">
        <f t="shared" si="12"/>
        <v>Gwynedd.2019.Employment.Serviced Accommodation</v>
      </c>
      <c r="B423" s="530" t="s">
        <v>219</v>
      </c>
      <c r="C423" s="530" t="str">
        <f t="shared" si="13"/>
        <v>2019.Employment.Serviced Accommodation</v>
      </c>
      <c r="D423" s="530" t="s">
        <v>239</v>
      </c>
      <c r="E423" s="530" t="s">
        <v>20</v>
      </c>
      <c r="F423" s="530" t="s">
        <v>43</v>
      </c>
      <c r="G423" s="530" t="s">
        <v>43</v>
      </c>
      <c r="H423" s="530">
        <v>1554.9756969883979</v>
      </c>
      <c r="I423" s="530">
        <v>1683.0546317694091</v>
      </c>
      <c r="J423" s="530">
        <v>1802.2227657755429</v>
      </c>
      <c r="K423" s="530">
        <v>1924.1214445478231</v>
      </c>
      <c r="L423" s="530">
        <v>2041.6393385142155</v>
      </c>
      <c r="M423" s="530">
        <v>2083.6369978088815</v>
      </c>
      <c r="N423" s="530">
        <v>2133.180004278126</v>
      </c>
      <c r="O423" s="530">
        <v>2176.4005914421086</v>
      </c>
      <c r="P423" s="530">
        <v>2044.4849769435059</v>
      </c>
      <c r="Q423" s="530">
        <v>1907.1742114233514</v>
      </c>
      <c r="R423" s="530">
        <v>1694.2152182551004</v>
      </c>
      <c r="S423" s="530">
        <v>1666.5574984742725</v>
      </c>
      <c r="T423" s="530">
        <v>1892.6386146850612</v>
      </c>
      <c r="U423" s="530" t="s">
        <v>59</v>
      </c>
    </row>
    <row r="424" spans="1:21" ht="13.8" x14ac:dyDescent="0.3">
      <c r="A424" s="530" t="str">
        <f t="shared" si="12"/>
        <v>Gwynedd.2019.Employment.Non-Serviced Accommodation</v>
      </c>
      <c r="B424" s="530" t="s">
        <v>219</v>
      </c>
      <c r="C424" s="530" t="str">
        <f t="shared" si="13"/>
        <v>2019.Employment.Non-Serviced Accommodation</v>
      </c>
      <c r="D424" s="530" t="s">
        <v>239</v>
      </c>
      <c r="E424" s="530" t="s">
        <v>20</v>
      </c>
      <c r="F424" s="530" t="s">
        <v>48</v>
      </c>
      <c r="G424" s="530" t="s">
        <v>48</v>
      </c>
      <c r="H424" s="530">
        <v>6075.5859063918733</v>
      </c>
      <c r="I424" s="530">
        <v>6409.0105308919465</v>
      </c>
      <c r="J424" s="530">
        <v>12278.904940735105</v>
      </c>
      <c r="K424" s="530">
        <v>10645.958538177763</v>
      </c>
      <c r="L424" s="530">
        <v>12361.056146596491</v>
      </c>
      <c r="M424" s="530">
        <v>12945.526447362034</v>
      </c>
      <c r="N424" s="530">
        <v>14201.08071880778</v>
      </c>
      <c r="O424" s="530">
        <v>17438.027497918454</v>
      </c>
      <c r="P424" s="530">
        <v>12355.470521301642</v>
      </c>
      <c r="Q424" s="530">
        <v>11437.373618517577</v>
      </c>
      <c r="R424" s="530">
        <v>7379.7214182485986</v>
      </c>
      <c r="S424" s="530">
        <v>6889.8544494168391</v>
      </c>
      <c r="T424" s="530">
        <v>10868.13089453051</v>
      </c>
      <c r="U424" s="530" t="s">
        <v>59</v>
      </c>
    </row>
    <row r="425" spans="1:21" ht="13.8" x14ac:dyDescent="0.3">
      <c r="A425" s="530" t="str">
        <f t="shared" si="12"/>
        <v>Gwynedd.2019.Employment.SFR</v>
      </c>
      <c r="B425" s="530" t="s">
        <v>219</v>
      </c>
      <c r="C425" s="530" t="str">
        <f t="shared" si="13"/>
        <v>2019.Employment.SFR</v>
      </c>
      <c r="D425" s="530" t="s">
        <v>239</v>
      </c>
      <c r="E425" s="530" t="s">
        <v>20</v>
      </c>
      <c r="F425" s="530" t="s">
        <v>18</v>
      </c>
      <c r="G425" s="530" t="s">
        <v>18</v>
      </c>
      <c r="H425" s="530">
        <v>255.53551178178122</v>
      </c>
      <c r="I425" s="530">
        <v>85.859931958678501</v>
      </c>
      <c r="J425" s="530">
        <v>97.671351169925273</v>
      </c>
      <c r="K425" s="530">
        <v>233.04838674498447</v>
      </c>
      <c r="L425" s="530">
        <v>149.9141669119783</v>
      </c>
      <c r="M425" s="530">
        <v>115.48160848442258</v>
      </c>
      <c r="N425" s="530">
        <v>187.39270863997294</v>
      </c>
      <c r="O425" s="530">
        <v>198.37278565288963</v>
      </c>
      <c r="P425" s="530">
        <v>102.17808902704733</v>
      </c>
      <c r="Q425" s="530">
        <v>102.07791910642885</v>
      </c>
      <c r="R425" s="530">
        <v>79.539686967275742</v>
      </c>
      <c r="S425" s="530">
        <v>230.32267461931212</v>
      </c>
      <c r="T425" s="530">
        <v>153.11623508872472</v>
      </c>
      <c r="U425" s="530" t="s">
        <v>59</v>
      </c>
    </row>
    <row r="426" spans="1:21" ht="13.8" x14ac:dyDescent="0.3">
      <c r="A426" s="530" t="str">
        <f t="shared" si="12"/>
        <v>Gwynedd.2019.Employment.Day Visitor</v>
      </c>
      <c r="B426" s="530" t="s">
        <v>219</v>
      </c>
      <c r="C426" s="530" t="str">
        <f t="shared" si="13"/>
        <v>2019.Employment.Day Visitor</v>
      </c>
      <c r="D426" s="530" t="s">
        <v>239</v>
      </c>
      <c r="E426" s="530" t="s">
        <v>20</v>
      </c>
      <c r="F426" s="530" t="s">
        <v>71</v>
      </c>
      <c r="G426" s="530" t="s">
        <v>71</v>
      </c>
      <c r="H426" s="530">
        <v>230.93947750455155</v>
      </c>
      <c r="I426" s="530">
        <v>542.43619704741968</v>
      </c>
      <c r="J426" s="530">
        <v>1376.4534478136702</v>
      </c>
      <c r="K426" s="530">
        <v>2678.2202372079792</v>
      </c>
      <c r="L426" s="530">
        <v>2571.2448228575099</v>
      </c>
      <c r="M426" s="530">
        <v>2948.4938328546177</v>
      </c>
      <c r="N426" s="530">
        <v>2517.4375696535981</v>
      </c>
      <c r="O426" s="530">
        <v>3480.3061204001888</v>
      </c>
      <c r="P426" s="530">
        <v>1504.6659521645033</v>
      </c>
      <c r="Q426" s="530">
        <v>1263.4853778783333</v>
      </c>
      <c r="R426" s="530">
        <v>450.97464382897164</v>
      </c>
      <c r="S426" s="530">
        <v>368.75146500418123</v>
      </c>
      <c r="T426" s="530">
        <v>1661.1174286846272</v>
      </c>
      <c r="U426" s="530" t="s">
        <v>59</v>
      </c>
    </row>
    <row r="427" spans="1:21" ht="13.8" x14ac:dyDescent="0.3">
      <c r="A427" s="530" t="str">
        <f t="shared" si="12"/>
        <v>Gwynedd.2019.Employment.Direct Employment</v>
      </c>
      <c r="B427" s="530" t="s">
        <v>219</v>
      </c>
      <c r="C427" s="530" t="str">
        <f t="shared" si="13"/>
        <v>2019.Employment.Direct Employment</v>
      </c>
      <c r="D427" s="530" t="s">
        <v>239</v>
      </c>
      <c r="E427" s="530" t="s">
        <v>20</v>
      </c>
      <c r="F427" s="530" t="s">
        <v>55</v>
      </c>
      <c r="G427" s="530" t="s">
        <v>55</v>
      </c>
      <c r="H427" s="530">
        <v>8117.0365926666036</v>
      </c>
      <c r="I427" s="530">
        <v>8720.3612916674538</v>
      </c>
      <c r="J427" s="530">
        <v>15555.252505494243</v>
      </c>
      <c r="K427" s="530">
        <v>15481.34860667855</v>
      </c>
      <c r="L427" s="530">
        <v>17123.854474880194</v>
      </c>
      <c r="M427" s="530">
        <v>18093.138886509954</v>
      </c>
      <c r="N427" s="530">
        <v>19039.091001379478</v>
      </c>
      <c r="O427" s="530">
        <v>23293.10699541364</v>
      </c>
      <c r="P427" s="530">
        <v>16006.799539436699</v>
      </c>
      <c r="Q427" s="530">
        <v>14710.111126925689</v>
      </c>
      <c r="R427" s="530">
        <v>9604.4509672999448</v>
      </c>
      <c r="S427" s="530">
        <v>9155.486087514606</v>
      </c>
      <c r="T427" s="530">
        <v>14575.003172988923</v>
      </c>
      <c r="U427" s="530" t="s">
        <v>59</v>
      </c>
    </row>
    <row r="428" spans="1:21" ht="13.8" x14ac:dyDescent="0.3">
      <c r="A428" s="530" t="str">
        <f t="shared" si="12"/>
        <v>Gwynedd.2019.Employment.Indirect Employment</v>
      </c>
      <c r="B428" s="530" t="s">
        <v>219</v>
      </c>
      <c r="C428" s="530" t="str">
        <f t="shared" si="13"/>
        <v>2019.Employment.Indirect Employment</v>
      </c>
      <c r="D428" s="530" t="s">
        <v>239</v>
      </c>
      <c r="E428" s="530" t="s">
        <v>20</v>
      </c>
      <c r="F428" s="530" t="s">
        <v>53</v>
      </c>
      <c r="G428" s="530" t="s">
        <v>53</v>
      </c>
      <c r="H428" s="530">
        <v>1284.0772825886204</v>
      </c>
      <c r="I428" s="530">
        <v>1532.9573011599816</v>
      </c>
      <c r="J428" s="530">
        <v>3580.2142272823385</v>
      </c>
      <c r="K428" s="530">
        <v>3836.3039075733618</v>
      </c>
      <c r="L428" s="530">
        <v>4438.8038262509499</v>
      </c>
      <c r="M428" s="530">
        <v>4801.5654151892086</v>
      </c>
      <c r="N428" s="530">
        <v>5729.7216842402058</v>
      </c>
      <c r="O428" s="530">
        <v>6635.7950667806408</v>
      </c>
      <c r="P428" s="530">
        <v>4675.4228730261812</v>
      </c>
      <c r="Q428" s="530">
        <v>3541.1095553673158</v>
      </c>
      <c r="R428" s="530">
        <v>1998.2407662841736</v>
      </c>
      <c r="S428" s="530">
        <v>1978.102115546594</v>
      </c>
      <c r="T428" s="530">
        <v>3669.3595017741304</v>
      </c>
      <c r="U428" s="530" t="s">
        <v>59</v>
      </c>
    </row>
    <row r="429" spans="1:21" ht="13.8" x14ac:dyDescent="0.3">
      <c r="A429" s="530" t="str">
        <f t="shared" si="12"/>
        <v>Gwynedd.2019.Employment.Total</v>
      </c>
      <c r="B429" s="530" t="s">
        <v>219</v>
      </c>
      <c r="C429" s="530" t="str">
        <f t="shared" si="13"/>
        <v>2019.Employment.Total</v>
      </c>
      <c r="D429" s="530" t="s">
        <v>239</v>
      </c>
      <c r="E429" s="530" t="s">
        <v>20</v>
      </c>
      <c r="F429" s="530" t="s">
        <v>54</v>
      </c>
      <c r="G429" s="530" t="s">
        <v>54</v>
      </c>
      <c r="H429" s="530">
        <v>9401.1138752552233</v>
      </c>
      <c r="I429" s="530">
        <v>10253.318592827436</v>
      </c>
      <c r="J429" s="530">
        <v>19135.466732776582</v>
      </c>
      <c r="K429" s="530">
        <v>19317.652514251913</v>
      </c>
      <c r="L429" s="530">
        <v>21562.658301131145</v>
      </c>
      <c r="M429" s="530">
        <v>22894.704301699163</v>
      </c>
      <c r="N429" s="530">
        <v>24768.812685619683</v>
      </c>
      <c r="O429" s="530">
        <v>29928.90206219428</v>
      </c>
      <c r="P429" s="530">
        <v>20682.222412462881</v>
      </c>
      <c r="Q429" s="530">
        <v>18251.220682293006</v>
      </c>
      <c r="R429" s="530">
        <v>11602.691733584119</v>
      </c>
      <c r="S429" s="530">
        <v>11133.588203061199</v>
      </c>
      <c r="T429" s="530">
        <v>18244.362674763051</v>
      </c>
      <c r="U429" s="530" t="s">
        <v>59</v>
      </c>
    </row>
    <row r="430" spans="1:21" ht="13.8" x14ac:dyDescent="0.3">
      <c r="A430" s="530" t="str">
        <f t="shared" si="12"/>
        <v>Gwynedd.2019.Employment.Accommodation</v>
      </c>
      <c r="B430" s="530" t="s">
        <v>219</v>
      </c>
      <c r="C430" s="530" t="str">
        <f t="shared" si="13"/>
        <v>2019.Employment.Accommodation</v>
      </c>
      <c r="D430" s="530" t="s">
        <v>239</v>
      </c>
      <c r="E430" s="530" t="s">
        <v>20</v>
      </c>
      <c r="F430" s="530" t="s">
        <v>23</v>
      </c>
      <c r="G430" s="530" t="s">
        <v>23</v>
      </c>
      <c r="H430" s="530">
        <v>5117.8999999999996</v>
      </c>
      <c r="I430" s="530">
        <v>5148.2</v>
      </c>
      <c r="J430" s="530">
        <v>5872.0105409047555</v>
      </c>
      <c r="K430" s="530">
        <v>5905.3</v>
      </c>
      <c r="L430" s="530">
        <v>5935</v>
      </c>
      <c r="M430" s="530">
        <v>5935</v>
      </c>
      <c r="N430" s="530">
        <v>5935</v>
      </c>
      <c r="O430" s="530">
        <v>7830.0875717867302</v>
      </c>
      <c r="P430" s="530">
        <v>5930.5</v>
      </c>
      <c r="Q430" s="530">
        <v>5880.3</v>
      </c>
      <c r="R430" s="530">
        <v>5249</v>
      </c>
      <c r="S430" s="530">
        <v>5225.3999999999996</v>
      </c>
      <c r="T430" s="530">
        <v>5830.3081760576242</v>
      </c>
      <c r="U430" s="530" t="s">
        <v>59</v>
      </c>
    </row>
    <row r="431" spans="1:21" ht="13.8" x14ac:dyDescent="0.3">
      <c r="A431" s="530" t="str">
        <f t="shared" si="12"/>
        <v>Gwynedd.2019.Employment.Food &amp; Drink</v>
      </c>
      <c r="B431" s="530" t="s">
        <v>219</v>
      </c>
      <c r="C431" s="530" t="str">
        <f t="shared" si="13"/>
        <v>2019.Employment.Food &amp; Drink</v>
      </c>
      <c r="D431" s="530" t="s">
        <v>239</v>
      </c>
      <c r="E431" s="530" t="s">
        <v>20</v>
      </c>
      <c r="F431" s="530" t="s">
        <v>49</v>
      </c>
      <c r="G431" s="530" t="s">
        <v>49</v>
      </c>
      <c r="H431" s="530">
        <v>1195.0656802330286</v>
      </c>
      <c r="I431" s="530">
        <v>1368.2909891117961</v>
      </c>
      <c r="J431" s="530">
        <v>3748.634166270384</v>
      </c>
      <c r="K431" s="530">
        <v>3723.8638226284311</v>
      </c>
      <c r="L431" s="530">
        <v>4382.9223147014336</v>
      </c>
      <c r="M431" s="530">
        <v>4727.1638421304051</v>
      </c>
      <c r="N431" s="530">
        <v>5266.3510138635584</v>
      </c>
      <c r="O431" s="530">
        <v>6092.5935842949311</v>
      </c>
      <c r="P431" s="530">
        <v>4058.9094108358067</v>
      </c>
      <c r="Q431" s="530">
        <v>3543.2680361689572</v>
      </c>
      <c r="R431" s="530">
        <v>1782.8629848173287</v>
      </c>
      <c r="S431" s="530">
        <v>1635.5687531806557</v>
      </c>
      <c r="T431" s="530">
        <v>3460.4578831863928</v>
      </c>
      <c r="U431" s="530" t="s">
        <v>59</v>
      </c>
    </row>
    <row r="432" spans="1:21" ht="13.8" x14ac:dyDescent="0.3">
      <c r="A432" s="530" t="str">
        <f t="shared" si="12"/>
        <v>Gwynedd.2019.Employment.Recreation</v>
      </c>
      <c r="B432" s="530" t="s">
        <v>219</v>
      </c>
      <c r="C432" s="530" t="str">
        <f t="shared" si="13"/>
        <v>2019.Employment.Recreation</v>
      </c>
      <c r="D432" s="530" t="s">
        <v>239</v>
      </c>
      <c r="E432" s="530" t="s">
        <v>20</v>
      </c>
      <c r="F432" s="530" t="s">
        <v>50</v>
      </c>
      <c r="G432" s="530" t="s">
        <v>50</v>
      </c>
      <c r="H432" s="530">
        <v>340.85838378150191</v>
      </c>
      <c r="I432" s="530">
        <v>440.40769734625474</v>
      </c>
      <c r="J432" s="530">
        <v>1570.6693498904558</v>
      </c>
      <c r="K432" s="530">
        <v>1180.9248221241335</v>
      </c>
      <c r="L432" s="530">
        <v>1444.847446907095</v>
      </c>
      <c r="M432" s="530">
        <v>1646.0631242217264</v>
      </c>
      <c r="N432" s="530">
        <v>1693.0108505775631</v>
      </c>
      <c r="O432" s="530">
        <v>2012.2296345148468</v>
      </c>
      <c r="P432" s="530">
        <v>1368.6234329160689</v>
      </c>
      <c r="Q432" s="530">
        <v>1215.8017200463</v>
      </c>
      <c r="R432" s="530">
        <v>633.61318117452424</v>
      </c>
      <c r="S432" s="530">
        <v>545.58995402972278</v>
      </c>
      <c r="T432" s="530">
        <v>1174.386633127516</v>
      </c>
      <c r="U432" s="530" t="s">
        <v>59</v>
      </c>
    </row>
    <row r="433" spans="1:21" ht="13.8" x14ac:dyDescent="0.3">
      <c r="A433" s="530" t="str">
        <f t="shared" si="12"/>
        <v>Gwynedd.2019.Employment.Shopping</v>
      </c>
      <c r="B433" s="530" t="s">
        <v>219</v>
      </c>
      <c r="C433" s="530" t="str">
        <f t="shared" si="13"/>
        <v>2019.Employment.Shopping</v>
      </c>
      <c r="D433" s="530" t="s">
        <v>239</v>
      </c>
      <c r="E433" s="530" t="s">
        <v>20</v>
      </c>
      <c r="F433" s="530" t="s">
        <v>51</v>
      </c>
      <c r="G433" s="530" t="s">
        <v>51</v>
      </c>
      <c r="H433" s="530">
        <v>1268.1252925030628</v>
      </c>
      <c r="I433" s="530">
        <v>1524.4516808419037</v>
      </c>
      <c r="J433" s="530">
        <v>3649.9763987793299</v>
      </c>
      <c r="K433" s="530">
        <v>4016.44430629619</v>
      </c>
      <c r="L433" s="530">
        <v>4584.4401561545319</v>
      </c>
      <c r="M433" s="530">
        <v>4931.7912874696895</v>
      </c>
      <c r="N433" s="530">
        <v>5230.5216489253162</v>
      </c>
      <c r="O433" s="530">
        <v>6281.3314041712329</v>
      </c>
      <c r="P433" s="530">
        <v>3940.9926249504965</v>
      </c>
      <c r="Q433" s="530">
        <v>3446.2979352446082</v>
      </c>
      <c r="R433" s="530">
        <v>1631.2320253683126</v>
      </c>
      <c r="S433" s="530">
        <v>1479.1541263159511</v>
      </c>
      <c r="T433" s="530">
        <v>3498.7299072517185</v>
      </c>
      <c r="U433" s="530" t="s">
        <v>59</v>
      </c>
    </row>
    <row r="434" spans="1:21" ht="13.8" x14ac:dyDescent="0.3">
      <c r="A434" s="530" t="str">
        <f t="shared" si="12"/>
        <v>Gwynedd.2019.Employment.Transport</v>
      </c>
      <c r="B434" s="530" t="s">
        <v>219</v>
      </c>
      <c r="C434" s="530" t="str">
        <f t="shared" si="13"/>
        <v>2019.Employment.Transport</v>
      </c>
      <c r="D434" s="530" t="s">
        <v>239</v>
      </c>
      <c r="E434" s="530" t="s">
        <v>20</v>
      </c>
      <c r="F434" s="530" t="s">
        <v>52</v>
      </c>
      <c r="G434" s="530" t="s">
        <v>52</v>
      </c>
      <c r="H434" s="530">
        <v>195.08723614900978</v>
      </c>
      <c r="I434" s="530">
        <v>239.01092436749988</v>
      </c>
      <c r="J434" s="530">
        <v>713.96204964932201</v>
      </c>
      <c r="K434" s="530">
        <v>654.81565562979631</v>
      </c>
      <c r="L434" s="530">
        <v>776.6445571171339</v>
      </c>
      <c r="M434" s="530">
        <v>853.1206326881379</v>
      </c>
      <c r="N434" s="530">
        <v>914.2074880130416</v>
      </c>
      <c r="O434" s="530">
        <v>1076.8648006459009</v>
      </c>
      <c r="P434" s="530">
        <v>707.77407073432448</v>
      </c>
      <c r="Q434" s="530">
        <v>624.44343546582422</v>
      </c>
      <c r="R434" s="530">
        <v>307.74277593978024</v>
      </c>
      <c r="S434" s="530">
        <v>269.77325398827622</v>
      </c>
      <c r="T434" s="530">
        <v>611.12057336567068</v>
      </c>
      <c r="U434" s="530" t="s">
        <v>59</v>
      </c>
    </row>
    <row r="435" spans="1:21" ht="13.8" x14ac:dyDescent="0.3">
      <c r="A435" s="530" t="str">
        <f t="shared" si="12"/>
        <v>Gwynedd.2019.Visitor Days.Serviced Accommodation</v>
      </c>
      <c r="B435" s="530" t="s">
        <v>219</v>
      </c>
      <c r="C435" s="530" t="str">
        <f t="shared" si="13"/>
        <v>2019.Visitor Days.Serviced Accommodation</v>
      </c>
      <c r="D435" s="530" t="s">
        <v>239</v>
      </c>
      <c r="E435" s="530" t="s">
        <v>171</v>
      </c>
      <c r="F435" s="530" t="s">
        <v>43</v>
      </c>
      <c r="G435" s="530" t="s">
        <v>43</v>
      </c>
      <c r="H435" s="530">
        <v>36.458041393566106</v>
      </c>
      <c r="I435" s="530">
        <v>53.404325692850733</v>
      </c>
      <c r="J435" s="530">
        <v>66.141802963505157</v>
      </c>
      <c r="K435" s="530">
        <v>87.037101544655457</v>
      </c>
      <c r="L435" s="530">
        <v>109.52483384703652</v>
      </c>
      <c r="M435" s="530">
        <v>118.91406253151141</v>
      </c>
      <c r="N435" s="530">
        <v>128.78562533164705</v>
      </c>
      <c r="O435" s="530">
        <v>136.51918772043697</v>
      </c>
      <c r="P435" s="530">
        <v>111.10267268612003</v>
      </c>
      <c r="Q435" s="530">
        <v>83.107966234997662</v>
      </c>
      <c r="R435" s="530">
        <v>50.798316167978115</v>
      </c>
      <c r="S435" s="530">
        <v>45.967218781701376</v>
      </c>
      <c r="T435" s="530">
        <v>1027.7611548960067</v>
      </c>
      <c r="U435" s="530" t="s">
        <v>61</v>
      </c>
    </row>
    <row r="436" spans="1:21" ht="13.8" x14ac:dyDescent="0.3">
      <c r="A436" s="530" t="str">
        <f t="shared" si="12"/>
        <v>Gwynedd.2019.Visitor Days.Non-Serviced Accommodation</v>
      </c>
      <c r="B436" s="530" t="s">
        <v>219</v>
      </c>
      <c r="C436" s="530" t="str">
        <f t="shared" si="13"/>
        <v>2019.Visitor Days.Non-Serviced Accommodation</v>
      </c>
      <c r="D436" s="530" t="s">
        <v>239</v>
      </c>
      <c r="E436" s="530" t="s">
        <v>171</v>
      </c>
      <c r="F436" s="530" t="s">
        <v>48</v>
      </c>
      <c r="G436" s="530" t="s">
        <v>48</v>
      </c>
      <c r="H436" s="530">
        <v>564.82214716274837</v>
      </c>
      <c r="I436" s="530">
        <v>631.0432209106034</v>
      </c>
      <c r="J436" s="530">
        <v>1765.9917391990316</v>
      </c>
      <c r="K436" s="530">
        <v>1508.5918241807765</v>
      </c>
      <c r="L436" s="530">
        <v>1891.8463536569006</v>
      </c>
      <c r="M436" s="530">
        <v>2011.1416155911604</v>
      </c>
      <c r="N436" s="530">
        <v>2363.8807025370261</v>
      </c>
      <c r="O436" s="530">
        <v>2661.7615044934646</v>
      </c>
      <c r="P436" s="530">
        <v>1902.5249157025303</v>
      </c>
      <c r="Q436" s="530">
        <v>1674.8742041787607</v>
      </c>
      <c r="R436" s="530">
        <v>865.5726913496361</v>
      </c>
      <c r="S436" s="530">
        <v>769.3086710157429</v>
      </c>
      <c r="T436" s="530">
        <v>18611.359589978383</v>
      </c>
      <c r="U436" s="530" t="s">
        <v>61</v>
      </c>
    </row>
    <row r="437" spans="1:21" ht="13.8" x14ac:dyDescent="0.3">
      <c r="A437" s="530" t="str">
        <f t="shared" si="12"/>
        <v>Gwynedd.2019.Visitor Days.SFR</v>
      </c>
      <c r="B437" s="530" t="s">
        <v>219</v>
      </c>
      <c r="C437" s="530" t="str">
        <f t="shared" si="13"/>
        <v>2019.Visitor Days.SFR</v>
      </c>
      <c r="D437" s="530" t="s">
        <v>239</v>
      </c>
      <c r="E437" s="530" t="s">
        <v>171</v>
      </c>
      <c r="F437" s="530" t="s">
        <v>18</v>
      </c>
      <c r="G437" s="530" t="s">
        <v>18</v>
      </c>
      <c r="H437" s="530">
        <v>63.500113636363629</v>
      </c>
      <c r="I437" s="530">
        <v>21.336038181818182</v>
      </c>
      <c r="J437" s="530">
        <v>24.271154545454547</v>
      </c>
      <c r="K437" s="530">
        <v>57.912103636363632</v>
      </c>
      <c r="L437" s="530">
        <v>37.253399999999999</v>
      </c>
      <c r="M437" s="530">
        <v>28.696971354545454</v>
      </c>
      <c r="N437" s="530">
        <v>46.566749999999999</v>
      </c>
      <c r="O437" s="530">
        <v>49.295279327272731</v>
      </c>
      <c r="P437" s="530">
        <v>25.391070771818182</v>
      </c>
      <c r="Q437" s="530">
        <v>25.366178727272722</v>
      </c>
      <c r="R437" s="530">
        <v>19.765468704545448</v>
      </c>
      <c r="S437" s="530">
        <v>57.23476909090909</v>
      </c>
      <c r="T437" s="530">
        <v>456.58929797636364</v>
      </c>
      <c r="U437" s="530" t="s">
        <v>61</v>
      </c>
    </row>
    <row r="438" spans="1:21" ht="13.8" x14ac:dyDescent="0.3">
      <c r="A438" s="530" t="str">
        <f t="shared" si="12"/>
        <v>Gwynedd.2019.Visitor Days.Day Visitor</v>
      </c>
      <c r="B438" s="530" t="s">
        <v>219</v>
      </c>
      <c r="C438" s="530" t="str">
        <f t="shared" si="13"/>
        <v>2019.Visitor Days.Day Visitor</v>
      </c>
      <c r="D438" s="530" t="s">
        <v>239</v>
      </c>
      <c r="E438" s="530" t="s">
        <v>171</v>
      </c>
      <c r="F438" s="530" t="s">
        <v>71</v>
      </c>
      <c r="G438" s="530" t="s">
        <v>71</v>
      </c>
      <c r="H438" s="530">
        <v>44.446608917642997</v>
      </c>
      <c r="I438" s="530">
        <v>104.39726361840854</v>
      </c>
      <c r="J438" s="530">
        <v>264.91221314515082</v>
      </c>
      <c r="K438" s="530">
        <v>515.45023295618228</v>
      </c>
      <c r="L438" s="530">
        <v>494.86174606422418</v>
      </c>
      <c r="M438" s="530">
        <v>567.46708575361947</v>
      </c>
      <c r="N438" s="530">
        <v>484.50600279361021</v>
      </c>
      <c r="O438" s="530">
        <v>669.8196718837637</v>
      </c>
      <c r="P438" s="530">
        <v>289.58799010979197</v>
      </c>
      <c r="Q438" s="530">
        <v>243.170379835175</v>
      </c>
      <c r="R438" s="530">
        <v>86.794574243568178</v>
      </c>
      <c r="S438" s="530">
        <v>70.969902287605805</v>
      </c>
      <c r="T438" s="530">
        <v>3836.383671608743</v>
      </c>
      <c r="U438" s="530" t="s">
        <v>61</v>
      </c>
    </row>
    <row r="439" spans="1:21" ht="13.8" x14ac:dyDescent="0.3">
      <c r="A439" s="530" t="str">
        <f t="shared" si="12"/>
        <v>Gwynedd.2019.Visitor Days.Total</v>
      </c>
      <c r="B439" s="530" t="s">
        <v>219</v>
      </c>
      <c r="C439" s="530" t="str">
        <f t="shared" si="13"/>
        <v>2019.Visitor Days.Total</v>
      </c>
      <c r="D439" s="530" t="s">
        <v>239</v>
      </c>
      <c r="E439" s="530" t="s">
        <v>171</v>
      </c>
      <c r="F439" s="530" t="s">
        <v>54</v>
      </c>
      <c r="G439" s="530" t="s">
        <v>54</v>
      </c>
      <c r="H439" s="530">
        <v>709.226911110321</v>
      </c>
      <c r="I439" s="530">
        <v>810.18084840368078</v>
      </c>
      <c r="J439" s="530">
        <v>2121.3169098531421</v>
      </c>
      <c r="K439" s="530">
        <v>2168.991262317978</v>
      </c>
      <c r="L439" s="530">
        <v>2533.4863335681612</v>
      </c>
      <c r="M439" s="530">
        <v>2726.2197352308367</v>
      </c>
      <c r="N439" s="530">
        <v>3023.7390806622834</v>
      </c>
      <c r="O439" s="530">
        <v>3517.3956434249376</v>
      </c>
      <c r="P439" s="530">
        <v>2328.6066492702607</v>
      </c>
      <c r="Q439" s="530">
        <v>2026.5187289762061</v>
      </c>
      <c r="R439" s="530">
        <v>1022.9310504657278</v>
      </c>
      <c r="S439" s="530">
        <v>943.48056117595922</v>
      </c>
      <c r="T439" s="530">
        <v>23932.093714459494</v>
      </c>
      <c r="U439" s="530" t="s">
        <v>61</v>
      </c>
    </row>
    <row r="440" spans="1:21" ht="13.8" x14ac:dyDescent="0.3">
      <c r="A440" s="530" t="str">
        <f t="shared" si="12"/>
        <v>Gwynedd.2019.Visitor Numbers.Serviced Accommodation</v>
      </c>
      <c r="B440" s="530" t="s">
        <v>219</v>
      </c>
      <c r="C440" s="530" t="str">
        <f t="shared" si="13"/>
        <v>2019.Visitor Numbers.Serviced Accommodation</v>
      </c>
      <c r="D440" s="530" t="s">
        <v>239</v>
      </c>
      <c r="E440" s="530" t="s">
        <v>172</v>
      </c>
      <c r="F440" s="530" t="s">
        <v>43</v>
      </c>
      <c r="G440" s="530" t="s">
        <v>43</v>
      </c>
      <c r="H440" s="530">
        <v>24.048121821215595</v>
      </c>
      <c r="I440" s="530">
        <v>34.715663213442419</v>
      </c>
      <c r="J440" s="530">
        <v>32.330670866379343</v>
      </c>
      <c r="K440" s="530">
        <v>48.000641670107733</v>
      </c>
      <c r="L440" s="530">
        <v>58.169184572843704</v>
      </c>
      <c r="M440" s="530">
        <v>67.524871737866818</v>
      </c>
      <c r="N440" s="530">
        <v>73.369123689154918</v>
      </c>
      <c r="O440" s="530">
        <v>77.392302491326831</v>
      </c>
      <c r="P440" s="530">
        <v>56.543320729188132</v>
      </c>
      <c r="Q440" s="530">
        <v>47.66852787151096</v>
      </c>
      <c r="R440" s="530">
        <v>29.863138588192889</v>
      </c>
      <c r="S440" s="530">
        <v>27.877851605731244</v>
      </c>
      <c r="T440" s="530">
        <v>577.50341885696071</v>
      </c>
      <c r="U440" s="530" t="s">
        <v>61</v>
      </c>
    </row>
    <row r="441" spans="1:21" ht="13.8" x14ac:dyDescent="0.3">
      <c r="A441" s="530" t="str">
        <f t="shared" si="12"/>
        <v>Gwynedd.2019.Visitor Numbers.Non-Serviced Accommodation</v>
      </c>
      <c r="B441" s="530" t="s">
        <v>219</v>
      </c>
      <c r="C441" s="530" t="str">
        <f t="shared" si="13"/>
        <v>2019.Visitor Numbers.Non-Serviced Accommodation</v>
      </c>
      <c r="D441" s="530" t="s">
        <v>239</v>
      </c>
      <c r="E441" s="530" t="s">
        <v>172</v>
      </c>
      <c r="F441" s="530" t="s">
        <v>48</v>
      </c>
      <c r="G441" s="530" t="s">
        <v>48</v>
      </c>
      <c r="H441" s="530">
        <v>165.97141655225681</v>
      </c>
      <c r="I441" s="530">
        <v>158.01942848239804</v>
      </c>
      <c r="J441" s="530">
        <v>373.35494522370573</v>
      </c>
      <c r="K441" s="530">
        <v>251.43696049585986</v>
      </c>
      <c r="L441" s="530">
        <v>291.80289883934012</v>
      </c>
      <c r="M441" s="530">
        <v>306.98585217797563</v>
      </c>
      <c r="N441" s="530">
        <v>350.83061467659178</v>
      </c>
      <c r="O441" s="530">
        <v>368.97825813552311</v>
      </c>
      <c r="P441" s="530">
        <v>306.9377621594715</v>
      </c>
      <c r="Q441" s="530">
        <v>265.47444303955268</v>
      </c>
      <c r="R441" s="530">
        <v>208.26475392723916</v>
      </c>
      <c r="S441" s="530">
        <v>155.44637606961615</v>
      </c>
      <c r="T441" s="530">
        <v>3203.5037097795307</v>
      </c>
      <c r="U441" s="530" t="s">
        <v>61</v>
      </c>
    </row>
    <row r="442" spans="1:21" ht="13.8" x14ac:dyDescent="0.3">
      <c r="A442" s="530" t="str">
        <f t="shared" si="12"/>
        <v>Gwynedd.2019.Visitor Numbers.SFR</v>
      </c>
      <c r="B442" s="530" t="s">
        <v>219</v>
      </c>
      <c r="C442" s="530" t="str">
        <f t="shared" si="13"/>
        <v>2019.Visitor Numbers.SFR</v>
      </c>
      <c r="D442" s="530" t="s">
        <v>239</v>
      </c>
      <c r="E442" s="530" t="s">
        <v>172</v>
      </c>
      <c r="F442" s="530" t="s">
        <v>18</v>
      </c>
      <c r="G442" s="530" t="s">
        <v>18</v>
      </c>
      <c r="H442" s="530">
        <v>25.400045454545452</v>
      </c>
      <c r="I442" s="530">
        <v>10.160018181818181</v>
      </c>
      <c r="J442" s="530">
        <v>11.288909090909092</v>
      </c>
      <c r="K442" s="530">
        <v>21.448927272727271</v>
      </c>
      <c r="L442" s="530">
        <v>16.933363636363634</v>
      </c>
      <c r="M442" s="530">
        <v>13.665224454545454</v>
      </c>
      <c r="N442" s="530">
        <v>18.6267</v>
      </c>
      <c r="O442" s="530">
        <v>18.95972281818182</v>
      </c>
      <c r="P442" s="530">
        <v>11.700954272727273</v>
      </c>
      <c r="Q442" s="530">
        <v>11.853354545454541</v>
      </c>
      <c r="R442" s="530">
        <v>9.7366840909090886</v>
      </c>
      <c r="S442" s="530">
        <v>22.013372727272728</v>
      </c>
      <c r="T442" s="530">
        <v>191.78727654545455</v>
      </c>
      <c r="U442" s="530" t="s">
        <v>61</v>
      </c>
    </row>
    <row r="443" spans="1:21" ht="13.8" x14ac:dyDescent="0.3">
      <c r="A443" s="530" t="str">
        <f t="shared" si="12"/>
        <v>Gwynedd.2019.Visitor Numbers.Day Visitor</v>
      </c>
      <c r="B443" s="530" t="s">
        <v>219</v>
      </c>
      <c r="C443" s="530" t="str">
        <f t="shared" si="13"/>
        <v>2019.Visitor Numbers.Day Visitor</v>
      </c>
      <c r="D443" s="530" t="s">
        <v>239</v>
      </c>
      <c r="E443" s="530" t="s">
        <v>172</v>
      </c>
      <c r="F443" s="530" t="s">
        <v>71</v>
      </c>
      <c r="G443" s="530" t="s">
        <v>71</v>
      </c>
      <c r="H443" s="530">
        <v>44.446608917642997</v>
      </c>
      <c r="I443" s="530">
        <v>104.39726361840854</v>
      </c>
      <c r="J443" s="530">
        <v>264.91221314515082</v>
      </c>
      <c r="K443" s="530">
        <v>515.45023295618228</v>
      </c>
      <c r="L443" s="530">
        <v>494.86174606422418</v>
      </c>
      <c r="M443" s="530">
        <v>567.46708575361947</v>
      </c>
      <c r="N443" s="530">
        <v>484.50600279361021</v>
      </c>
      <c r="O443" s="530">
        <v>669.8196718837637</v>
      </c>
      <c r="P443" s="530">
        <v>289.58799010979197</v>
      </c>
      <c r="Q443" s="530">
        <v>243.170379835175</v>
      </c>
      <c r="R443" s="530">
        <v>86.794574243568178</v>
      </c>
      <c r="S443" s="530">
        <v>70.969902287605805</v>
      </c>
      <c r="T443" s="530">
        <v>3836.383671608743</v>
      </c>
      <c r="U443" s="530" t="s">
        <v>61</v>
      </c>
    </row>
    <row r="444" spans="1:21" ht="13.8" x14ac:dyDescent="0.3">
      <c r="A444" s="530" t="str">
        <f t="shared" si="12"/>
        <v>Gwynedd.2019.Visitor Numbers.Total</v>
      </c>
      <c r="B444" s="530" t="s">
        <v>219</v>
      </c>
      <c r="C444" s="530" t="str">
        <f t="shared" si="13"/>
        <v>2019.Visitor Numbers.Total</v>
      </c>
      <c r="D444" s="530" t="s">
        <v>239</v>
      </c>
      <c r="E444" s="530" t="s">
        <v>172</v>
      </c>
      <c r="F444" s="530" t="s">
        <v>54</v>
      </c>
      <c r="G444" s="530" t="s">
        <v>54</v>
      </c>
      <c r="H444" s="530">
        <v>259.86619274566084</v>
      </c>
      <c r="I444" s="530">
        <v>307.29237349606717</v>
      </c>
      <c r="J444" s="530">
        <v>681.88673832614495</v>
      </c>
      <c r="K444" s="530">
        <v>836.33676239487704</v>
      </c>
      <c r="L444" s="530">
        <v>861.76719311277157</v>
      </c>
      <c r="M444" s="530">
        <v>955.64303412400739</v>
      </c>
      <c r="N444" s="530">
        <v>927.3324411593569</v>
      </c>
      <c r="O444" s="530">
        <v>1135.1499553287954</v>
      </c>
      <c r="P444" s="530">
        <v>664.77002727117883</v>
      </c>
      <c r="Q444" s="530">
        <v>568.16670529169312</v>
      </c>
      <c r="R444" s="530">
        <v>334.65915084990934</v>
      </c>
      <c r="S444" s="530">
        <v>276.30750269022593</v>
      </c>
      <c r="T444" s="530">
        <v>7809.1780767906894</v>
      </c>
      <c r="U444" s="530" t="s">
        <v>61</v>
      </c>
    </row>
    <row r="445" spans="1:21" ht="13.8" x14ac:dyDescent="0.3">
      <c r="A445" s="530" t="str">
        <f t="shared" si="12"/>
        <v>Gwynedd.2019.Vehicle Days.Serviced Accommodation</v>
      </c>
      <c r="B445" s="530" t="s">
        <v>219</v>
      </c>
      <c r="C445" s="530" t="str">
        <f t="shared" si="13"/>
        <v>2019.Vehicle Days.Serviced Accommodation</v>
      </c>
      <c r="D445" s="530" t="s">
        <v>239</v>
      </c>
      <c r="E445" s="530" t="s">
        <v>21</v>
      </c>
      <c r="F445" s="530" t="s">
        <v>43</v>
      </c>
      <c r="G445" s="530" t="s">
        <v>43</v>
      </c>
      <c r="H445" s="530">
        <v>9.2865963173479251</v>
      </c>
      <c r="I445" s="530">
        <v>18.250150394509863</v>
      </c>
      <c r="J445" s="530">
        <v>23.58843970013455</v>
      </c>
      <c r="K445" s="530">
        <v>22.522165788770252</v>
      </c>
      <c r="L445" s="530">
        <v>31.034898574455852</v>
      </c>
      <c r="M445" s="530">
        <v>32.803438236741421</v>
      </c>
      <c r="N445" s="530">
        <v>33.304929040588974</v>
      </c>
      <c r="O445" s="530">
        <v>35.308523428503236</v>
      </c>
      <c r="P445" s="530">
        <v>28.739550535540236</v>
      </c>
      <c r="Q445" s="530">
        <v>24.389646251958276</v>
      </c>
      <c r="R445" s="530">
        <v>15.014444469208032</v>
      </c>
      <c r="S445" s="530">
        <v>11.901478290142283</v>
      </c>
      <c r="T445" s="530">
        <v>286.14426102790094</v>
      </c>
      <c r="U445" s="530" t="s">
        <v>61</v>
      </c>
    </row>
    <row r="446" spans="1:21" ht="13.8" x14ac:dyDescent="0.3">
      <c r="A446" s="530" t="str">
        <f t="shared" si="12"/>
        <v>Gwynedd.2019.Vehicle Days.Non-Serviced Accommodation</v>
      </c>
      <c r="B446" s="530" t="s">
        <v>219</v>
      </c>
      <c r="C446" s="530" t="str">
        <f t="shared" si="13"/>
        <v>2019.Vehicle Days.Non-Serviced Accommodation</v>
      </c>
      <c r="D446" s="530" t="s">
        <v>239</v>
      </c>
      <c r="E446" s="530" t="s">
        <v>21</v>
      </c>
      <c r="F446" s="530" t="s">
        <v>48</v>
      </c>
      <c r="G446" s="530" t="s">
        <v>48</v>
      </c>
      <c r="H446" s="530">
        <v>148.8743109449459</v>
      </c>
      <c r="I446" s="530">
        <v>194.49894693853636</v>
      </c>
      <c r="J446" s="530">
        <v>493.28747471057795</v>
      </c>
      <c r="K446" s="530">
        <v>384.65655955138573</v>
      </c>
      <c r="L446" s="530">
        <v>511.00047940583812</v>
      </c>
      <c r="M446" s="530">
        <v>547.64879600283359</v>
      </c>
      <c r="N446" s="530">
        <v>600.86172870180951</v>
      </c>
      <c r="O446" s="530">
        <v>668.27584108581925</v>
      </c>
      <c r="P446" s="530">
        <v>514.2816893625868</v>
      </c>
      <c r="Q446" s="530">
        <v>439.13715372582629</v>
      </c>
      <c r="R446" s="530">
        <v>233.31972473990976</v>
      </c>
      <c r="S446" s="530">
        <v>181.49720125392614</v>
      </c>
      <c r="T446" s="530">
        <v>4917.3399064239957</v>
      </c>
      <c r="U446" s="530" t="s">
        <v>61</v>
      </c>
    </row>
    <row r="447" spans="1:21" ht="13.8" x14ac:dyDescent="0.3">
      <c r="A447" s="530" t="str">
        <f t="shared" si="12"/>
        <v>Gwynedd.2019.Vehicle Days.SFR</v>
      </c>
      <c r="B447" s="530" t="s">
        <v>219</v>
      </c>
      <c r="C447" s="530" t="str">
        <f t="shared" si="13"/>
        <v>2019.Vehicle Days.SFR</v>
      </c>
      <c r="D447" s="530" t="s">
        <v>239</v>
      </c>
      <c r="E447" s="530" t="s">
        <v>21</v>
      </c>
      <c r="F447" s="530" t="s">
        <v>18</v>
      </c>
      <c r="G447" s="530" t="s">
        <v>18</v>
      </c>
      <c r="H447" s="530">
        <v>19.896702272727268</v>
      </c>
      <c r="I447" s="530">
        <v>6.685291963636363</v>
      </c>
      <c r="J447" s="530">
        <v>7.6049617575757571</v>
      </c>
      <c r="K447" s="530">
        <v>18.145792472727273</v>
      </c>
      <c r="L447" s="530">
        <v>11.672732</v>
      </c>
      <c r="M447" s="530">
        <v>8.9917176910909085</v>
      </c>
      <c r="N447" s="530">
        <v>14.590914999999999</v>
      </c>
      <c r="O447" s="530">
        <v>15.445854189212122</v>
      </c>
      <c r="P447" s="530">
        <v>7.955868841836363</v>
      </c>
      <c r="Q447" s="530">
        <v>7.9480693345454521</v>
      </c>
      <c r="R447" s="530">
        <v>6.1931801940909068</v>
      </c>
      <c r="S447" s="530">
        <v>17.933560981818182</v>
      </c>
      <c r="T447" s="530">
        <v>143.06464669926058</v>
      </c>
      <c r="U447" s="530" t="s">
        <v>61</v>
      </c>
    </row>
    <row r="448" spans="1:21" ht="13.8" x14ac:dyDescent="0.3">
      <c r="A448" s="530" t="str">
        <f t="shared" si="12"/>
        <v>Gwynedd.2019.Vehicle Days.Day Visitor</v>
      </c>
      <c r="B448" s="530" t="s">
        <v>219</v>
      </c>
      <c r="C448" s="530" t="str">
        <f t="shared" si="13"/>
        <v>2019.Vehicle Days.Day Visitor</v>
      </c>
      <c r="D448" s="530" t="s">
        <v>239</v>
      </c>
      <c r="E448" s="530" t="s">
        <v>21</v>
      </c>
      <c r="F448" s="530" t="s">
        <v>71</v>
      </c>
      <c r="G448" s="530" t="s">
        <v>71</v>
      </c>
      <c r="H448" s="530">
        <v>9.7782539618814592</v>
      </c>
      <c r="I448" s="530">
        <v>26.248454852628434</v>
      </c>
      <c r="J448" s="530">
        <v>66.606499305066492</v>
      </c>
      <c r="K448" s="530">
        <v>113.3990512503601</v>
      </c>
      <c r="L448" s="530">
        <v>108.86958413412933</v>
      </c>
      <c r="M448" s="530">
        <v>142.67743870376719</v>
      </c>
      <c r="N448" s="530">
        <v>106.59132061459425</v>
      </c>
      <c r="O448" s="530">
        <v>147.36032781442802</v>
      </c>
      <c r="P448" s="530">
        <v>63.709357824154232</v>
      </c>
      <c r="Q448" s="530">
        <v>61.139981215701141</v>
      </c>
      <c r="R448" s="530">
        <v>21.82263580981143</v>
      </c>
      <c r="S448" s="530">
        <v>15.613378503273276</v>
      </c>
      <c r="T448" s="530">
        <v>883.81628398979535</v>
      </c>
      <c r="U448" s="530" t="s">
        <v>61</v>
      </c>
    </row>
    <row r="449" spans="1:21" ht="13.8" x14ac:dyDescent="0.3">
      <c r="A449" s="530" t="str">
        <f t="shared" si="12"/>
        <v>Gwynedd.2019.Vehicle Days.Total</v>
      </c>
      <c r="B449" s="530" t="s">
        <v>219</v>
      </c>
      <c r="C449" s="530" t="str">
        <f t="shared" si="13"/>
        <v>2019.Vehicle Days.Total</v>
      </c>
      <c r="D449" s="530" t="s">
        <v>239</v>
      </c>
      <c r="E449" s="530" t="s">
        <v>21</v>
      </c>
      <c r="F449" s="530" t="s">
        <v>54</v>
      </c>
      <c r="G449" s="530" t="s">
        <v>54</v>
      </c>
      <c r="H449" s="530">
        <v>187.83586349690253</v>
      </c>
      <c r="I449" s="530">
        <v>245.68284414931102</v>
      </c>
      <c r="J449" s="530">
        <v>591.08737547335477</v>
      </c>
      <c r="K449" s="530">
        <v>538.72356906324342</v>
      </c>
      <c r="L449" s="530">
        <v>662.57769411442337</v>
      </c>
      <c r="M449" s="530">
        <v>732.12139063443306</v>
      </c>
      <c r="N449" s="530">
        <v>755.34889335699268</v>
      </c>
      <c r="O449" s="530">
        <v>866.39054651796266</v>
      </c>
      <c r="P449" s="530">
        <v>614.68646656411772</v>
      </c>
      <c r="Q449" s="530">
        <v>532.61485052803118</v>
      </c>
      <c r="R449" s="530">
        <v>276.34998521302009</v>
      </c>
      <c r="S449" s="530">
        <v>226.94561902915987</v>
      </c>
      <c r="T449" s="530">
        <v>6230.365098140951</v>
      </c>
      <c r="U449" s="530" t="s">
        <v>61</v>
      </c>
    </row>
    <row r="450" spans="1:21" ht="13.8" x14ac:dyDescent="0.3">
      <c r="A450" s="530" t="str">
        <f t="shared" si="12"/>
        <v>Gwynedd.2019.Vehicle Numbers.Serviced Accommodation</v>
      </c>
      <c r="B450" s="530" t="s">
        <v>219</v>
      </c>
      <c r="C450" s="530" t="str">
        <f t="shared" si="13"/>
        <v>2019.Vehicle Numbers.Serviced Accommodation</v>
      </c>
      <c r="D450" s="530" t="s">
        <v>239</v>
      </c>
      <c r="E450" s="530" t="s">
        <v>22</v>
      </c>
      <c r="F450" s="530" t="s">
        <v>43</v>
      </c>
      <c r="G450" s="530" t="s">
        <v>43</v>
      </c>
      <c r="H450" s="530">
        <v>6.102720136021424</v>
      </c>
      <c r="I450" s="530">
        <v>11.85042584990876</v>
      </c>
      <c r="J450" s="530">
        <v>11.531774450071314</v>
      </c>
      <c r="K450" s="530">
        <v>12.42045538265014</v>
      </c>
      <c r="L450" s="530">
        <v>16.463848418587197</v>
      </c>
      <c r="M450" s="530">
        <v>18.620722313594221</v>
      </c>
      <c r="N450" s="530">
        <v>18.976342411602914</v>
      </c>
      <c r="O450" s="530">
        <v>20.023858974686881</v>
      </c>
      <c r="P450" s="530">
        <v>14.62769120816343</v>
      </c>
      <c r="Q450" s="530">
        <v>14.023580680081704</v>
      </c>
      <c r="R450" s="530">
        <v>8.7234504866054507</v>
      </c>
      <c r="S450" s="530">
        <v>7.220464421323415</v>
      </c>
      <c r="T450" s="530">
        <v>160.58533473329686</v>
      </c>
      <c r="U450" s="530" t="s">
        <v>61</v>
      </c>
    </row>
    <row r="451" spans="1:21" ht="13.8" x14ac:dyDescent="0.3">
      <c r="A451" s="530" t="str">
        <f t="shared" si="12"/>
        <v>Gwynedd.2019.Vehicle Numbers.Non-Serviced Accommodation</v>
      </c>
      <c r="B451" s="530" t="s">
        <v>219</v>
      </c>
      <c r="C451" s="530" t="str">
        <f t="shared" si="13"/>
        <v>2019.Vehicle Numbers.Non-Serviced Accommodation</v>
      </c>
      <c r="D451" s="530" t="s">
        <v>239</v>
      </c>
      <c r="E451" s="530" t="s">
        <v>22</v>
      </c>
      <c r="F451" s="530" t="s">
        <v>48</v>
      </c>
      <c r="G451" s="530" t="s">
        <v>48</v>
      </c>
      <c r="H451" s="530">
        <v>43.743618757917567</v>
      </c>
      <c r="I451" s="530">
        <v>48.71702323793064</v>
      </c>
      <c r="J451" s="530">
        <v>104.34544599188989</v>
      </c>
      <c r="K451" s="530">
        <v>63.940532591587449</v>
      </c>
      <c r="L451" s="530">
        <v>79.167274408623172</v>
      </c>
      <c r="M451" s="530">
        <v>83.941348683026263</v>
      </c>
      <c r="N451" s="530">
        <v>88.884217336186722</v>
      </c>
      <c r="O451" s="530">
        <v>92.072119506418247</v>
      </c>
      <c r="P451" s="530">
        <v>83.582169758173919</v>
      </c>
      <c r="Q451" s="530">
        <v>69.487766188209761</v>
      </c>
      <c r="R451" s="530">
        <v>56.323321966493594</v>
      </c>
      <c r="S451" s="530">
        <v>36.309001617574474</v>
      </c>
      <c r="T451" s="530">
        <v>850.51384004403178</v>
      </c>
      <c r="U451" s="530" t="s">
        <v>61</v>
      </c>
    </row>
    <row r="452" spans="1:21" ht="13.8" x14ac:dyDescent="0.3">
      <c r="A452" s="530" t="str">
        <f t="shared" si="12"/>
        <v>Gwynedd.2019.Vehicle Numbers.SFR</v>
      </c>
      <c r="B452" s="530" t="s">
        <v>219</v>
      </c>
      <c r="C452" s="530" t="str">
        <f t="shared" si="13"/>
        <v>2019.Vehicle Numbers.SFR</v>
      </c>
      <c r="D452" s="530" t="s">
        <v>239</v>
      </c>
      <c r="E452" s="530" t="s">
        <v>22</v>
      </c>
      <c r="F452" s="530" t="s">
        <v>18</v>
      </c>
      <c r="G452" s="530" t="s">
        <v>18</v>
      </c>
      <c r="H452" s="530">
        <v>7.9586809090909076</v>
      </c>
      <c r="I452" s="530">
        <v>3.1834723636363629</v>
      </c>
      <c r="J452" s="530">
        <v>3.5371915151515156</v>
      </c>
      <c r="K452" s="530">
        <v>6.7206638787878781</v>
      </c>
      <c r="L452" s="530">
        <v>5.3057872727272715</v>
      </c>
      <c r="M452" s="530">
        <v>4.2817703290909082</v>
      </c>
      <c r="N452" s="530">
        <v>5.8363659999999999</v>
      </c>
      <c r="O452" s="530">
        <v>5.9407131496969701</v>
      </c>
      <c r="P452" s="530">
        <v>3.6662990054545452</v>
      </c>
      <c r="Q452" s="530">
        <v>3.7140510909090896</v>
      </c>
      <c r="R452" s="530">
        <v>3.050827681818181</v>
      </c>
      <c r="S452" s="530">
        <v>6.8975234545454542</v>
      </c>
      <c r="T452" s="530">
        <v>60.093346650909091</v>
      </c>
      <c r="U452" s="530" t="s">
        <v>61</v>
      </c>
    </row>
    <row r="453" spans="1:21" ht="13.8" x14ac:dyDescent="0.3">
      <c r="A453" s="530" t="str">
        <f t="shared" si="12"/>
        <v>Gwynedd.2019.Vehicle Numbers.Day Visitor</v>
      </c>
      <c r="B453" s="530" t="s">
        <v>219</v>
      </c>
      <c r="C453" s="530" t="str">
        <f t="shared" si="13"/>
        <v>2019.Vehicle Numbers.Day Visitor</v>
      </c>
      <c r="D453" s="530" t="s">
        <v>239</v>
      </c>
      <c r="E453" s="530" t="s">
        <v>22</v>
      </c>
      <c r="F453" s="530" t="s">
        <v>71</v>
      </c>
      <c r="G453" s="530" t="s">
        <v>71</v>
      </c>
      <c r="H453" s="530">
        <v>9.7782539618814592</v>
      </c>
      <c r="I453" s="530">
        <v>26.248454852628434</v>
      </c>
      <c r="J453" s="530">
        <v>66.606499305066492</v>
      </c>
      <c r="K453" s="530">
        <v>113.3990512503601</v>
      </c>
      <c r="L453" s="530">
        <v>108.86958413412933</v>
      </c>
      <c r="M453" s="530">
        <v>142.67743870376719</v>
      </c>
      <c r="N453" s="530">
        <v>106.59132061459425</v>
      </c>
      <c r="O453" s="530">
        <v>147.36032781442802</v>
      </c>
      <c r="P453" s="530">
        <v>63.709357824154232</v>
      </c>
      <c r="Q453" s="530">
        <v>61.139981215701141</v>
      </c>
      <c r="R453" s="530">
        <v>21.82263580981143</v>
      </c>
      <c r="S453" s="530">
        <v>15.613378503273276</v>
      </c>
      <c r="T453" s="530">
        <v>883.81628398979535</v>
      </c>
      <c r="U453" s="530" t="s">
        <v>61</v>
      </c>
    </row>
    <row r="454" spans="1:21" ht="13.8" x14ac:dyDescent="0.3">
      <c r="A454" s="530" t="str">
        <f t="shared" si="12"/>
        <v>Gwynedd.2019.Vehicle Numbers.Total</v>
      </c>
      <c r="B454" s="530" t="s">
        <v>219</v>
      </c>
      <c r="C454" s="530" t="str">
        <f t="shared" si="13"/>
        <v>2019.Vehicle Numbers.Total</v>
      </c>
      <c r="D454" s="530" t="s">
        <v>239</v>
      </c>
      <c r="E454" s="530" t="s">
        <v>22</v>
      </c>
      <c r="F454" s="530" t="s">
        <v>54</v>
      </c>
      <c r="G454" s="530" t="s">
        <v>54</v>
      </c>
      <c r="H454" s="530">
        <v>67.583273764911354</v>
      </c>
      <c r="I454" s="530">
        <v>89.999376304104203</v>
      </c>
      <c r="J454" s="530">
        <v>186.0209112621792</v>
      </c>
      <c r="K454" s="530">
        <v>196.48070310338557</v>
      </c>
      <c r="L454" s="530">
        <v>209.80649423406697</v>
      </c>
      <c r="M454" s="530">
        <v>249.52128002947859</v>
      </c>
      <c r="N454" s="530">
        <v>220.28824636238389</v>
      </c>
      <c r="O454" s="530">
        <v>265.39701944523011</v>
      </c>
      <c r="P454" s="530">
        <v>165.58551779594612</v>
      </c>
      <c r="Q454" s="530">
        <v>148.3653791749017</v>
      </c>
      <c r="R454" s="530">
        <v>89.920235944728645</v>
      </c>
      <c r="S454" s="530">
        <v>66.040367996716625</v>
      </c>
      <c r="T454" s="530">
        <v>1955.0088054180328</v>
      </c>
      <c r="U454" s="530" t="s">
        <v>61</v>
      </c>
    </row>
    <row r="455" spans="1:21" ht="13.8" x14ac:dyDescent="0.3">
      <c r="A455" s="530" t="str">
        <f t="shared" si="12"/>
        <v>Gwynedd.2019.Accommodation.Serviced Accommodation</v>
      </c>
      <c r="B455" s="530" t="s">
        <v>219</v>
      </c>
      <c r="C455" s="530" t="str">
        <f t="shared" si="13"/>
        <v>2019.Accommodation.Serviced Accommodation</v>
      </c>
      <c r="D455" s="530" t="s">
        <v>239</v>
      </c>
      <c r="E455" s="530" t="s">
        <v>23</v>
      </c>
      <c r="F455" s="530" t="s">
        <v>43</v>
      </c>
      <c r="G455" s="530" t="s">
        <v>43</v>
      </c>
      <c r="H455" s="530">
        <v>5901</v>
      </c>
      <c r="I455" s="530">
        <v>6048</v>
      </c>
      <c r="J455" s="530">
        <v>6286</v>
      </c>
      <c r="K455" s="530">
        <v>6364</v>
      </c>
      <c r="L455" s="530">
        <v>6376</v>
      </c>
      <c r="M455" s="530">
        <v>6376</v>
      </c>
      <c r="N455" s="530">
        <v>6376</v>
      </c>
      <c r="O455" s="530">
        <v>6376</v>
      </c>
      <c r="P455" s="530">
        <v>6376</v>
      </c>
      <c r="Q455" s="530">
        <v>6359</v>
      </c>
      <c r="R455" s="530">
        <v>6176</v>
      </c>
      <c r="S455" s="530">
        <v>6143</v>
      </c>
      <c r="T455" s="530">
        <v>6376</v>
      </c>
      <c r="U455" s="530" t="s">
        <v>58</v>
      </c>
    </row>
    <row r="456" spans="1:21" ht="13.8" x14ac:dyDescent="0.3">
      <c r="A456" s="530" t="str">
        <f t="shared" si="12"/>
        <v>Gwynedd.2019.Accommodation.Non-Serviced Accommodation</v>
      </c>
      <c r="B456" s="530" t="s">
        <v>219</v>
      </c>
      <c r="C456" s="530" t="str">
        <f t="shared" si="13"/>
        <v>2019.Accommodation.Non-Serviced Accommodation</v>
      </c>
      <c r="D456" s="530" t="s">
        <v>239</v>
      </c>
      <c r="E456" s="530" t="s">
        <v>23</v>
      </c>
      <c r="F456" s="530" t="s">
        <v>48</v>
      </c>
      <c r="G456" s="530" t="s">
        <v>48</v>
      </c>
      <c r="H456" s="530">
        <v>43773.951153978313</v>
      </c>
      <c r="I456" s="530">
        <v>41837.69407427148</v>
      </c>
      <c r="J456" s="530">
        <v>94906.036951273578</v>
      </c>
      <c r="K456" s="530">
        <v>102619.13135159957</v>
      </c>
      <c r="L456" s="530">
        <v>102269.26473768652</v>
      </c>
      <c r="M456" s="530">
        <v>103623.72491535626</v>
      </c>
      <c r="N456" s="530">
        <v>103392.57129212729</v>
      </c>
      <c r="O456" s="530">
        <v>102673.76203179696</v>
      </c>
      <c r="P456" s="530">
        <v>103574.61674282984</v>
      </c>
      <c r="Q456" s="530">
        <v>101985.42578357423</v>
      </c>
      <c r="R456" s="530">
        <v>61149.20133569499</v>
      </c>
      <c r="S456" s="530">
        <v>56960.55581482526</v>
      </c>
      <c r="T456" s="530">
        <v>103623.72491535626</v>
      </c>
      <c r="U456" s="530" t="s">
        <v>58</v>
      </c>
    </row>
    <row r="457" spans="1:21" ht="13.8" x14ac:dyDescent="0.3">
      <c r="A457" s="530" t="str">
        <f t="shared" ref="A457:A520" si="14">B457&amp;"."&amp;D457&amp;"."&amp;E457&amp;"."&amp;F457</f>
        <v>Gwynedd.2019.Accommodation.Total</v>
      </c>
      <c r="B457" s="530" t="s">
        <v>219</v>
      </c>
      <c r="C457" s="530" t="str">
        <f t="shared" ref="C457:C520" si="15">D457&amp;"."&amp;E457&amp;"."&amp;F457</f>
        <v>2019.Accommodation.Total</v>
      </c>
      <c r="D457" s="530" t="s">
        <v>239</v>
      </c>
      <c r="E457" s="530" t="s">
        <v>23</v>
      </c>
      <c r="F457" s="530" t="s">
        <v>54</v>
      </c>
      <c r="G457" s="530" t="s">
        <v>54</v>
      </c>
      <c r="H457" s="530">
        <v>49674.951153978313</v>
      </c>
      <c r="I457" s="530">
        <v>47885.69407427148</v>
      </c>
      <c r="J457" s="530">
        <v>101192.03695127358</v>
      </c>
      <c r="K457" s="530">
        <v>108983.13135159957</v>
      </c>
      <c r="L457" s="530">
        <v>108645.26473768652</v>
      </c>
      <c r="M457" s="530">
        <v>109999.72491535626</v>
      </c>
      <c r="N457" s="530">
        <v>109768.57129212729</v>
      </c>
      <c r="O457" s="530">
        <v>109049.76203179696</v>
      </c>
      <c r="P457" s="530">
        <v>109950.61674282984</v>
      </c>
      <c r="Q457" s="530">
        <v>108344.42578357423</v>
      </c>
      <c r="R457" s="530">
        <v>67325.20133569499</v>
      </c>
      <c r="S457" s="530">
        <v>63103.55581482526</v>
      </c>
      <c r="T457" s="530">
        <v>109999.72491535626</v>
      </c>
      <c r="U457" s="530" t="s">
        <v>58</v>
      </c>
    </row>
    <row r="458" spans="1:21" ht="13.8" x14ac:dyDescent="0.3">
      <c r="A458" s="530" t="str">
        <f t="shared" si="14"/>
        <v>Gwynedd.2019.Economic Impact.Total</v>
      </c>
      <c r="B458" s="530" t="s">
        <v>219</v>
      </c>
      <c r="C458" s="530" t="str">
        <f t="shared" si="15"/>
        <v>2019.Economic Impact.Total</v>
      </c>
      <c r="D458" s="530" t="s">
        <v>239</v>
      </c>
      <c r="E458" s="530" t="s">
        <v>17</v>
      </c>
      <c r="F458" s="530" t="s">
        <v>54</v>
      </c>
      <c r="G458" s="530" t="s">
        <v>54</v>
      </c>
      <c r="H458" s="530">
        <v>38270.38002154378</v>
      </c>
      <c r="I458" s="530">
        <v>46012.612947571382</v>
      </c>
      <c r="J458" s="530">
        <v>112487.69725416915</v>
      </c>
      <c r="K458" s="530">
        <v>117640.64965120394</v>
      </c>
      <c r="L458" s="530">
        <v>136537.12046503584</v>
      </c>
      <c r="M458" s="530">
        <v>148325.59709529625</v>
      </c>
      <c r="N458" s="530">
        <v>176668.17852417348</v>
      </c>
      <c r="O458" s="530">
        <v>204661.05886051216</v>
      </c>
      <c r="P458" s="530">
        <v>143168.33682469779</v>
      </c>
      <c r="Q458" s="530">
        <v>108547.40428403475</v>
      </c>
      <c r="R458" s="530">
        <v>60295.988834438816</v>
      </c>
      <c r="S458" s="530">
        <v>58610.837907384092</v>
      </c>
      <c r="T458" s="530">
        <v>1351225.8626700616</v>
      </c>
      <c r="U458" s="530" t="s">
        <v>57</v>
      </c>
    </row>
    <row r="459" spans="1:21" ht="13.8" x14ac:dyDescent="0.3">
      <c r="A459" s="530" t="str">
        <f t="shared" si="14"/>
        <v>Gwynedd.2020.Economic Impact.Indirect Expenditure</v>
      </c>
      <c r="B459" s="530" t="s">
        <v>219</v>
      </c>
      <c r="C459" s="530" t="str">
        <f t="shared" si="15"/>
        <v>2020.Economic Impact.Indirect Expenditure</v>
      </c>
      <c r="D459" s="530" t="s">
        <v>240</v>
      </c>
      <c r="E459" s="530" t="s">
        <v>17</v>
      </c>
      <c r="F459" s="530" t="s">
        <v>45</v>
      </c>
      <c r="G459" s="530" t="s">
        <v>45</v>
      </c>
      <c r="H459" s="530">
        <v>8502.9779633311318</v>
      </c>
      <c r="I459" s="530">
        <v>10222.426449320115</v>
      </c>
      <c r="J459" s="530">
        <v>20571.718917358223</v>
      </c>
      <c r="K459" s="530">
        <v>0</v>
      </c>
      <c r="L459" s="530">
        <v>0</v>
      </c>
      <c r="M459" s="530">
        <v>641.06259158400087</v>
      </c>
      <c r="N459" s="530">
        <v>16453.012587312383</v>
      </c>
      <c r="O459" s="530">
        <v>42562.662803833213</v>
      </c>
      <c r="P459" s="530">
        <v>35187.518215744654</v>
      </c>
      <c r="Q459" s="530">
        <v>14343.187153673165</v>
      </c>
      <c r="R459" s="530">
        <v>3958.1340554721396</v>
      </c>
      <c r="S459" s="530">
        <v>2280.2993277419746</v>
      </c>
      <c r="T459" s="530">
        <v>154723.00006537104</v>
      </c>
      <c r="U459" s="530" t="s">
        <v>57</v>
      </c>
    </row>
    <row r="460" spans="1:21" ht="13.8" x14ac:dyDescent="0.3">
      <c r="A460" s="530" t="str">
        <f t="shared" si="14"/>
        <v>Gwynedd.2020.Economic Impact.Direct Revenue</v>
      </c>
      <c r="B460" s="530" t="s">
        <v>219</v>
      </c>
      <c r="C460" s="530" t="str">
        <f t="shared" si="15"/>
        <v>2020.Economic Impact.Direct Revenue</v>
      </c>
      <c r="D460" s="530" t="s">
        <v>240</v>
      </c>
      <c r="E460" s="530" t="s">
        <v>17</v>
      </c>
      <c r="F460" s="530" t="s">
        <v>46</v>
      </c>
      <c r="G460" s="530" t="s">
        <v>46</v>
      </c>
      <c r="H460" s="530">
        <v>19375.138852019518</v>
      </c>
      <c r="I460" s="530">
        <v>23121.651213726309</v>
      </c>
      <c r="J460" s="530">
        <v>47852.977586466914</v>
      </c>
      <c r="K460" s="530">
        <v>0</v>
      </c>
      <c r="L460" s="530">
        <v>0</v>
      </c>
      <c r="M460" s="530">
        <v>1532.0299005448833</v>
      </c>
      <c r="N460" s="530">
        <v>36720.204529421913</v>
      </c>
      <c r="O460" s="530">
        <v>104193.31185573367</v>
      </c>
      <c r="P460" s="530">
        <v>85991.374725069167</v>
      </c>
      <c r="Q460" s="530">
        <v>34247.655142364878</v>
      </c>
      <c r="R460" s="530">
        <v>9663.9837554016431</v>
      </c>
      <c r="S460" s="530">
        <v>5287.7206825683525</v>
      </c>
      <c r="T460" s="530">
        <v>367986.04824331717</v>
      </c>
      <c r="U460" s="530" t="s">
        <v>57</v>
      </c>
    </row>
    <row r="461" spans="1:21" ht="13.8" x14ac:dyDescent="0.3">
      <c r="A461" s="530" t="str">
        <f t="shared" si="14"/>
        <v>Gwynedd.2020.Economic Impact.VAT</v>
      </c>
      <c r="B461" s="530" t="s">
        <v>219</v>
      </c>
      <c r="C461" s="530" t="str">
        <f t="shared" si="15"/>
        <v>2020.Economic Impact.VAT</v>
      </c>
      <c r="D461" s="530" t="s">
        <v>240</v>
      </c>
      <c r="E461" s="530" t="s">
        <v>17</v>
      </c>
      <c r="F461" s="530" t="s">
        <v>47</v>
      </c>
      <c r="G461" s="530" t="s">
        <v>47</v>
      </c>
      <c r="H461" s="530">
        <v>3875.0277704039045</v>
      </c>
      <c r="I461" s="530">
        <v>4624.3302427452627</v>
      </c>
      <c r="J461" s="530">
        <v>9570.5955172933827</v>
      </c>
      <c r="K461" s="530">
        <v>0</v>
      </c>
      <c r="L461" s="530">
        <v>0</v>
      </c>
      <c r="M461" s="530">
        <v>306.40598010897662</v>
      </c>
      <c r="N461" s="530">
        <v>5883.4045983775204</v>
      </c>
      <c r="O461" s="530">
        <v>12451.692528839212</v>
      </c>
      <c r="P461" s="530">
        <v>9948.7348994784552</v>
      </c>
      <c r="Q461" s="530">
        <v>4164.8888554097921</v>
      </c>
      <c r="R461" s="530">
        <v>1213.8128481547644</v>
      </c>
      <c r="S461" s="530">
        <v>682.45914248852466</v>
      </c>
      <c r="T461" s="530">
        <v>52721.352383299796</v>
      </c>
      <c r="U461" s="530" t="s">
        <v>57</v>
      </c>
    </row>
    <row r="462" spans="1:21" ht="13.8" x14ac:dyDescent="0.3">
      <c r="A462" s="530" t="str">
        <f t="shared" si="14"/>
        <v>Gwynedd.2020.Economic Impact.Serviced Accommodation</v>
      </c>
      <c r="B462" s="530" t="s">
        <v>219</v>
      </c>
      <c r="C462" s="530" t="str">
        <f t="shared" si="15"/>
        <v>2020.Economic Impact.Serviced Accommodation</v>
      </c>
      <c r="D462" s="530" t="s">
        <v>240</v>
      </c>
      <c r="E462" s="530" t="s">
        <v>17</v>
      </c>
      <c r="F462" s="530" t="s">
        <v>43</v>
      </c>
      <c r="G462" s="530" t="s">
        <v>43</v>
      </c>
      <c r="H462" s="530">
        <v>3816.2656290480081</v>
      </c>
      <c r="I462" s="530">
        <v>4464.3075666049981</v>
      </c>
      <c r="J462" s="530">
        <v>2871.5471809824344</v>
      </c>
      <c r="K462" s="530">
        <v>0</v>
      </c>
      <c r="L462" s="530">
        <v>0</v>
      </c>
      <c r="M462" s="530">
        <v>0</v>
      </c>
      <c r="N462" s="530">
        <v>405.16971796168758</v>
      </c>
      <c r="O462" s="530">
        <v>11152.086952992864</v>
      </c>
      <c r="P462" s="530">
        <v>8618.2099991453324</v>
      </c>
      <c r="Q462" s="530">
        <v>2184.6237247733638</v>
      </c>
      <c r="R462" s="530">
        <v>1525.7145806706926</v>
      </c>
      <c r="S462" s="530">
        <v>474.22277773173573</v>
      </c>
      <c r="T462" s="530">
        <v>35512.148129911118</v>
      </c>
      <c r="U462" s="530" t="s">
        <v>57</v>
      </c>
    </row>
    <row r="463" spans="1:21" ht="13.8" x14ac:dyDescent="0.3">
      <c r="A463" s="530" t="str">
        <f t="shared" si="14"/>
        <v>Gwynedd.2020.Economic Impact.Non-Serviced Accommodation</v>
      </c>
      <c r="B463" s="530" t="s">
        <v>219</v>
      </c>
      <c r="C463" s="530" t="str">
        <f t="shared" si="15"/>
        <v>2020.Economic Impact.Non-Serviced Accommodation</v>
      </c>
      <c r="D463" s="530" t="s">
        <v>240</v>
      </c>
      <c r="E463" s="530" t="s">
        <v>17</v>
      </c>
      <c r="F463" s="530" t="s">
        <v>48</v>
      </c>
      <c r="G463" s="530" t="s">
        <v>48</v>
      </c>
      <c r="H463" s="530">
        <v>23203.455550767714</v>
      </c>
      <c r="I463" s="530">
        <v>28838.383317635591</v>
      </c>
      <c r="J463" s="530">
        <v>63905.307930603769</v>
      </c>
      <c r="K463" s="530">
        <v>0</v>
      </c>
      <c r="L463" s="530">
        <v>0</v>
      </c>
      <c r="M463" s="530">
        <v>0</v>
      </c>
      <c r="N463" s="530">
        <v>41681.206119345341</v>
      </c>
      <c r="O463" s="530">
        <v>115362.11691441845</v>
      </c>
      <c r="P463" s="530">
        <v>103078.30154401888</v>
      </c>
      <c r="Q463" s="530">
        <v>43742.931309605476</v>
      </c>
      <c r="R463" s="530">
        <v>10538.145743867235</v>
      </c>
      <c r="S463" s="530">
        <v>5619.9688384299398</v>
      </c>
      <c r="T463" s="530">
        <v>435969.81726869242</v>
      </c>
      <c r="U463" s="530" t="s">
        <v>57</v>
      </c>
    </row>
    <row r="464" spans="1:21" ht="13.8" x14ac:dyDescent="0.3">
      <c r="A464" s="530" t="str">
        <f t="shared" si="14"/>
        <v>Gwynedd.2020.Economic Impact.SFR</v>
      </c>
      <c r="B464" s="530" t="s">
        <v>219</v>
      </c>
      <c r="C464" s="530" t="str">
        <f t="shared" si="15"/>
        <v>2020.Economic Impact.SFR</v>
      </c>
      <c r="D464" s="530" t="s">
        <v>240</v>
      </c>
      <c r="E464" s="530" t="s">
        <v>17</v>
      </c>
      <c r="F464" s="530" t="s">
        <v>18</v>
      </c>
      <c r="G464" s="530" t="s">
        <v>18</v>
      </c>
      <c r="H464" s="530">
        <v>2292.0833318629093</v>
      </c>
      <c r="I464" s="530">
        <v>770.13999950593745</v>
      </c>
      <c r="J464" s="530">
        <v>479.74424709964052</v>
      </c>
      <c r="K464" s="530">
        <v>0</v>
      </c>
      <c r="L464" s="530">
        <v>0</v>
      </c>
      <c r="M464" s="530">
        <v>0</v>
      </c>
      <c r="N464" s="530">
        <v>168.08611100328</v>
      </c>
      <c r="O464" s="530">
        <v>177.93493840436912</v>
      </c>
      <c r="P464" s="530">
        <v>0</v>
      </c>
      <c r="Q464" s="530">
        <v>0</v>
      </c>
      <c r="R464" s="530">
        <v>0</v>
      </c>
      <c r="S464" s="530">
        <v>0</v>
      </c>
      <c r="T464" s="530">
        <v>3887.9886278761364</v>
      </c>
      <c r="U464" s="530" t="s">
        <v>57</v>
      </c>
    </row>
    <row r="465" spans="1:21" ht="13.8" x14ac:dyDescent="0.3">
      <c r="A465" s="530" t="str">
        <f t="shared" si="14"/>
        <v>Gwynedd.2020.Economic Impact.Day Visitor</v>
      </c>
      <c r="B465" s="530" t="s">
        <v>219</v>
      </c>
      <c r="C465" s="530" t="str">
        <f t="shared" si="15"/>
        <v>2020.Economic Impact.Day Visitor</v>
      </c>
      <c r="D465" s="530" t="s">
        <v>240</v>
      </c>
      <c r="E465" s="530" t="s">
        <v>17</v>
      </c>
      <c r="F465" s="530" t="s">
        <v>71</v>
      </c>
      <c r="G465" s="530" t="s">
        <v>71</v>
      </c>
      <c r="H465" s="530">
        <v>2441.3400740759225</v>
      </c>
      <c r="I465" s="530">
        <v>3895.577022045155</v>
      </c>
      <c r="J465" s="530">
        <v>10738.692662432668</v>
      </c>
      <c r="K465" s="530">
        <v>0</v>
      </c>
      <c r="L465" s="530">
        <v>0</v>
      </c>
      <c r="M465" s="530">
        <v>2479.4984722378604</v>
      </c>
      <c r="N465" s="530">
        <v>16802.159766801502</v>
      </c>
      <c r="O465" s="530">
        <v>32515.528382590393</v>
      </c>
      <c r="P465" s="530">
        <v>19431.116297128028</v>
      </c>
      <c r="Q465" s="530">
        <v>6828.1761170690024</v>
      </c>
      <c r="R465" s="530">
        <v>2772.0703344906201</v>
      </c>
      <c r="S465" s="530">
        <v>2156.2875366371754</v>
      </c>
      <c r="T465" s="530">
        <v>100060.44666550832</v>
      </c>
      <c r="U465" s="530" t="s">
        <v>57</v>
      </c>
    </row>
    <row r="466" spans="1:21" ht="13.8" x14ac:dyDescent="0.3">
      <c r="A466" s="530" t="str">
        <f t="shared" si="14"/>
        <v>Gwynedd.2020.Economic Impact.Accommodation</v>
      </c>
      <c r="B466" s="530" t="s">
        <v>219</v>
      </c>
      <c r="C466" s="530" t="str">
        <f t="shared" si="15"/>
        <v>2020.Economic Impact.Accommodation</v>
      </c>
      <c r="D466" s="530" t="s">
        <v>240</v>
      </c>
      <c r="E466" s="530" t="s">
        <v>17</v>
      </c>
      <c r="F466" s="530" t="s">
        <v>23</v>
      </c>
      <c r="G466" s="530" t="s">
        <v>23</v>
      </c>
      <c r="H466" s="530">
        <v>4913.5830526750642</v>
      </c>
      <c r="I466" s="530">
        <v>6219.9064429081154</v>
      </c>
      <c r="J466" s="530">
        <v>10309.814835559768</v>
      </c>
      <c r="K466" s="530">
        <v>0</v>
      </c>
      <c r="L466" s="530">
        <v>0</v>
      </c>
      <c r="M466" s="530">
        <v>0</v>
      </c>
      <c r="N466" s="530">
        <v>12099.049440244209</v>
      </c>
      <c r="O466" s="530">
        <v>32392.227720086761</v>
      </c>
      <c r="P466" s="530">
        <v>29065.062706940564</v>
      </c>
      <c r="Q466" s="530">
        <v>9439.3245509077842</v>
      </c>
      <c r="R466" s="530">
        <v>2471.1478756231754</v>
      </c>
      <c r="S466" s="530">
        <v>1316.2617789344099</v>
      </c>
      <c r="T466" s="530">
        <v>108226.37840387985</v>
      </c>
      <c r="U466" s="530" t="s">
        <v>57</v>
      </c>
    </row>
    <row r="467" spans="1:21" ht="13.8" x14ac:dyDescent="0.3">
      <c r="A467" s="530" t="str">
        <f t="shared" si="14"/>
        <v>Gwynedd.2020.Economic Impact.Food &amp; Drink</v>
      </c>
      <c r="B467" s="530" t="s">
        <v>219</v>
      </c>
      <c r="C467" s="530" t="str">
        <f t="shared" si="15"/>
        <v>2020.Economic Impact.Food &amp; Drink</v>
      </c>
      <c r="D467" s="530" t="s">
        <v>240</v>
      </c>
      <c r="E467" s="530" t="s">
        <v>17</v>
      </c>
      <c r="F467" s="530" t="s">
        <v>49</v>
      </c>
      <c r="G467" s="530" t="s">
        <v>49</v>
      </c>
      <c r="H467" s="530">
        <v>4744.9299370276904</v>
      </c>
      <c r="I467" s="530">
        <v>5325.9039897551338</v>
      </c>
      <c r="J467" s="530">
        <v>11381.832360322305</v>
      </c>
      <c r="K467" s="530">
        <v>0</v>
      </c>
      <c r="L467" s="530">
        <v>0</v>
      </c>
      <c r="M467" s="530">
        <v>353.59707226266278</v>
      </c>
      <c r="N467" s="530">
        <v>7531.9964866428536</v>
      </c>
      <c r="O467" s="530">
        <v>23522.249771662217</v>
      </c>
      <c r="P467" s="530">
        <v>19258.968923838118</v>
      </c>
      <c r="Q467" s="530">
        <v>8682.9016650211852</v>
      </c>
      <c r="R467" s="530">
        <v>2127.5336464929578</v>
      </c>
      <c r="S467" s="530">
        <v>1137.3068361418409</v>
      </c>
      <c r="T467" s="530">
        <v>84067.220689166963</v>
      </c>
      <c r="U467" s="530" t="s">
        <v>57</v>
      </c>
    </row>
    <row r="468" spans="1:21" ht="13.8" x14ac:dyDescent="0.3">
      <c r="A468" s="530" t="str">
        <f t="shared" si="14"/>
        <v>Gwynedd.2020.Economic Impact.Recreation</v>
      </c>
      <c r="B468" s="530" t="s">
        <v>219</v>
      </c>
      <c r="C468" s="530" t="str">
        <f t="shared" si="15"/>
        <v>2020.Economic Impact.Recreation</v>
      </c>
      <c r="D468" s="530" t="s">
        <v>240</v>
      </c>
      <c r="E468" s="530" t="s">
        <v>17</v>
      </c>
      <c r="F468" s="530" t="s">
        <v>50</v>
      </c>
      <c r="G468" s="530" t="s">
        <v>50</v>
      </c>
      <c r="H468" s="530">
        <v>1328.1022383366619</v>
      </c>
      <c r="I468" s="530">
        <v>1736.5253328011743</v>
      </c>
      <c r="J468" s="530">
        <v>5120.8562167982527</v>
      </c>
      <c r="K468" s="530">
        <v>0</v>
      </c>
      <c r="L468" s="530">
        <v>0</v>
      </c>
      <c r="M468" s="530">
        <v>100.83566699505594</v>
      </c>
      <c r="N468" s="530">
        <v>2302.8052820424036</v>
      </c>
      <c r="O468" s="530">
        <v>7838.9563109556348</v>
      </c>
      <c r="P468" s="530">
        <v>6427.9700938889</v>
      </c>
      <c r="Q468" s="530">
        <v>2594.8182498856304</v>
      </c>
      <c r="R468" s="530">
        <v>968.57054534782242</v>
      </c>
      <c r="S468" s="530">
        <v>441.76629439135348</v>
      </c>
      <c r="T468" s="530">
        <v>28861.206231442888</v>
      </c>
      <c r="U468" s="530" t="s">
        <v>57</v>
      </c>
    </row>
    <row r="469" spans="1:21" ht="13.8" x14ac:dyDescent="0.3">
      <c r="A469" s="530" t="str">
        <f t="shared" si="14"/>
        <v>Gwynedd.2020.Economic Impact.Shopping</v>
      </c>
      <c r="B469" s="530" t="s">
        <v>219</v>
      </c>
      <c r="C469" s="530" t="str">
        <f t="shared" si="15"/>
        <v>2020.Economic Impact.Shopping</v>
      </c>
      <c r="D469" s="530" t="s">
        <v>240</v>
      </c>
      <c r="E469" s="530" t="s">
        <v>17</v>
      </c>
      <c r="F469" s="530" t="s">
        <v>51</v>
      </c>
      <c r="G469" s="530" t="s">
        <v>51</v>
      </c>
      <c r="H469" s="530">
        <v>6373.6411177798745</v>
      </c>
      <c r="I469" s="530">
        <v>7408.626791766641</v>
      </c>
      <c r="J469" s="530">
        <v>15178.636375100403</v>
      </c>
      <c r="K469" s="530">
        <v>0</v>
      </c>
      <c r="L469" s="530">
        <v>0</v>
      </c>
      <c r="M469" s="530">
        <v>882.6482050967229</v>
      </c>
      <c r="N469" s="530">
        <v>11441.182885287548</v>
      </c>
      <c r="O469" s="530">
        <v>30389.345006377935</v>
      </c>
      <c r="P469" s="530">
        <v>23182.67521331281</v>
      </c>
      <c r="Q469" s="530">
        <v>10069.692325736714</v>
      </c>
      <c r="R469" s="530">
        <v>3062.2725544859281</v>
      </c>
      <c r="S469" s="530">
        <v>1856.4389527126712</v>
      </c>
      <c r="T469" s="530">
        <v>109845.15942765726</v>
      </c>
      <c r="U469" s="530" t="s">
        <v>57</v>
      </c>
    </row>
    <row r="470" spans="1:21" ht="13.8" x14ac:dyDescent="0.3">
      <c r="A470" s="530" t="str">
        <f t="shared" si="14"/>
        <v>Gwynedd.2020.Economic Impact.Transport</v>
      </c>
      <c r="B470" s="530" t="s">
        <v>219</v>
      </c>
      <c r="C470" s="530" t="str">
        <f t="shared" si="15"/>
        <v>2020.Economic Impact.Transport</v>
      </c>
      <c r="D470" s="530" t="s">
        <v>240</v>
      </c>
      <c r="E470" s="530" t="s">
        <v>17</v>
      </c>
      <c r="F470" s="530" t="s">
        <v>52</v>
      </c>
      <c r="G470" s="530" t="s">
        <v>52</v>
      </c>
      <c r="H470" s="530">
        <v>2014.8825062002286</v>
      </c>
      <c r="I470" s="530">
        <v>2430.6886564952447</v>
      </c>
      <c r="J470" s="530">
        <v>5861.8377986861824</v>
      </c>
      <c r="K470" s="530">
        <v>0</v>
      </c>
      <c r="L470" s="530">
        <v>0</v>
      </c>
      <c r="M470" s="530">
        <v>194.94895619044146</v>
      </c>
      <c r="N470" s="530">
        <v>3345.1704352048951</v>
      </c>
      <c r="O470" s="530">
        <v>10050.533046651124</v>
      </c>
      <c r="P470" s="530">
        <v>8056.6977870887622</v>
      </c>
      <c r="Q470" s="530">
        <v>3460.9183508135698</v>
      </c>
      <c r="R470" s="530">
        <v>1034.4591334517586</v>
      </c>
      <c r="S470" s="530">
        <v>535.94682038807707</v>
      </c>
      <c r="T470" s="530">
        <v>36986.083491170284</v>
      </c>
      <c r="U470" s="530" t="s">
        <v>57</v>
      </c>
    </row>
    <row r="471" spans="1:21" ht="13.8" x14ac:dyDescent="0.3">
      <c r="A471" s="530" t="str">
        <f t="shared" si="14"/>
        <v>Gwynedd.2020.Economic Impact.Direct Expenditure</v>
      </c>
      <c r="B471" s="530" t="s">
        <v>219</v>
      </c>
      <c r="C471" s="530" t="str">
        <f t="shared" si="15"/>
        <v>2020.Economic Impact.Direct Expenditure</v>
      </c>
      <c r="D471" s="530" t="s">
        <v>240</v>
      </c>
      <c r="E471" s="530" t="s">
        <v>17</v>
      </c>
      <c r="F471" s="530" t="s">
        <v>44</v>
      </c>
      <c r="G471" s="530" t="s">
        <v>44</v>
      </c>
      <c r="H471" s="530">
        <v>23250.166622423421</v>
      </c>
      <c r="I471" s="530">
        <v>27745.981456471571</v>
      </c>
      <c r="J471" s="530">
        <v>57423.573103760282</v>
      </c>
      <c r="K471" s="530">
        <v>0</v>
      </c>
      <c r="L471" s="530">
        <v>0</v>
      </c>
      <c r="M471" s="530">
        <v>1838.4358806538596</v>
      </c>
      <c r="N471" s="530">
        <v>42603.609127799427</v>
      </c>
      <c r="O471" s="530">
        <v>116645.00438457287</v>
      </c>
      <c r="P471" s="530">
        <v>95940.109624547593</v>
      </c>
      <c r="Q471" s="530">
        <v>38412.543997774672</v>
      </c>
      <c r="R471" s="530">
        <v>10877.796603556408</v>
      </c>
      <c r="S471" s="530">
        <v>5970.1798250568763</v>
      </c>
      <c r="T471" s="530">
        <v>420707.40062661696</v>
      </c>
      <c r="U471" s="530" t="s">
        <v>57</v>
      </c>
    </row>
    <row r="472" spans="1:21" ht="13.8" x14ac:dyDescent="0.3">
      <c r="A472" s="530" t="str">
        <f t="shared" si="14"/>
        <v>Gwynedd.2020.Population.Total</v>
      </c>
      <c r="B472" s="530" t="s">
        <v>219</v>
      </c>
      <c r="C472" s="530" t="str">
        <f t="shared" si="15"/>
        <v>2020.Population.Total</v>
      </c>
      <c r="D472" s="530" t="s">
        <v>240</v>
      </c>
      <c r="E472" s="530" t="s">
        <v>19</v>
      </c>
      <c r="F472" s="530" t="s">
        <v>54</v>
      </c>
      <c r="G472" s="530" t="s">
        <v>54</v>
      </c>
      <c r="H472" s="530">
        <v>124560</v>
      </c>
      <c r="I472" s="530">
        <v>124560</v>
      </c>
      <c r="J472" s="530">
        <v>124560</v>
      </c>
      <c r="K472" s="530">
        <v>124560</v>
      </c>
      <c r="L472" s="530">
        <v>124560</v>
      </c>
      <c r="M472" s="530">
        <v>124560</v>
      </c>
      <c r="N472" s="530">
        <v>124560</v>
      </c>
      <c r="O472" s="530">
        <v>124560</v>
      </c>
      <c r="P472" s="530">
        <v>124560</v>
      </c>
      <c r="Q472" s="530">
        <v>124560</v>
      </c>
      <c r="R472" s="530">
        <v>124560</v>
      </c>
      <c r="S472" s="530">
        <v>124560</v>
      </c>
      <c r="T472" s="530">
        <v>124560</v>
      </c>
      <c r="U472" s="530" t="s">
        <v>60</v>
      </c>
    </row>
    <row r="473" spans="1:21" ht="13.8" x14ac:dyDescent="0.3">
      <c r="A473" s="530" t="str">
        <f t="shared" si="14"/>
        <v>Gwynedd.2020.Employment.Serviced Accommodation</v>
      </c>
      <c r="B473" s="530" t="s">
        <v>219</v>
      </c>
      <c r="C473" s="530" t="str">
        <f t="shared" si="15"/>
        <v>2020.Employment.Serviced Accommodation</v>
      </c>
      <c r="D473" s="530" t="s">
        <v>240</v>
      </c>
      <c r="E473" s="530" t="s">
        <v>20</v>
      </c>
      <c r="F473" s="530" t="s">
        <v>43</v>
      </c>
      <c r="G473" s="530" t="s">
        <v>43</v>
      </c>
      <c r="H473" s="530">
        <v>1581.4497071428796</v>
      </c>
      <c r="I473" s="530">
        <v>1661.2546554294281</v>
      </c>
      <c r="J473" s="530">
        <v>1250.8096288933511</v>
      </c>
      <c r="K473" s="530">
        <v>0</v>
      </c>
      <c r="L473" s="530">
        <v>0</v>
      </c>
      <c r="M473" s="530">
        <v>0</v>
      </c>
      <c r="N473" s="530">
        <v>183.7823301508401</v>
      </c>
      <c r="O473" s="530">
        <v>1876.3654247171978</v>
      </c>
      <c r="P473" s="530">
        <v>1767.5705252049943</v>
      </c>
      <c r="Q473" s="530">
        <v>1137.4505488327118</v>
      </c>
      <c r="R473" s="530">
        <v>914.14171016974899</v>
      </c>
      <c r="S473" s="530">
        <v>640.14662492678724</v>
      </c>
      <c r="T473" s="530">
        <v>917.74759628899494</v>
      </c>
      <c r="U473" s="530" t="s">
        <v>59</v>
      </c>
    </row>
    <row r="474" spans="1:21" ht="13.8" x14ac:dyDescent="0.3">
      <c r="A474" s="530" t="str">
        <f t="shared" si="14"/>
        <v>Gwynedd.2020.Employment.Non-Serviced Accommodation</v>
      </c>
      <c r="B474" s="530" t="s">
        <v>219</v>
      </c>
      <c r="C474" s="530" t="str">
        <f t="shared" si="15"/>
        <v>2020.Employment.Non-Serviced Accommodation</v>
      </c>
      <c r="D474" s="530" t="s">
        <v>240</v>
      </c>
      <c r="E474" s="530" t="s">
        <v>20</v>
      </c>
      <c r="F474" s="530" t="s">
        <v>48</v>
      </c>
      <c r="G474" s="530" t="s">
        <v>48</v>
      </c>
      <c r="H474" s="530">
        <v>5580.1178362396577</v>
      </c>
      <c r="I474" s="530">
        <v>5973.8843484427553</v>
      </c>
      <c r="J474" s="530">
        <v>8462.0365746573334</v>
      </c>
      <c r="K474" s="530">
        <v>0</v>
      </c>
      <c r="L474" s="530">
        <v>0</v>
      </c>
      <c r="M474" s="530">
        <v>0</v>
      </c>
      <c r="N474" s="530">
        <v>6020.6697797996621</v>
      </c>
      <c r="O474" s="530">
        <v>15106.845562744522</v>
      </c>
      <c r="P474" s="530">
        <v>13392.71297186672</v>
      </c>
      <c r="Q474" s="530">
        <v>8034.8571436707398</v>
      </c>
      <c r="R474" s="530">
        <v>3240.3287480162485</v>
      </c>
      <c r="S474" s="530">
        <v>2795.0061403877894</v>
      </c>
      <c r="T474" s="530">
        <v>5717.2049254854528</v>
      </c>
      <c r="U474" s="530" t="s">
        <v>59</v>
      </c>
    </row>
    <row r="475" spans="1:21" ht="13.8" x14ac:dyDescent="0.3">
      <c r="A475" s="530" t="str">
        <f t="shared" si="14"/>
        <v>Gwynedd.2020.Employment.SFR</v>
      </c>
      <c r="B475" s="530" t="s">
        <v>219</v>
      </c>
      <c r="C475" s="530" t="str">
        <f t="shared" si="15"/>
        <v>2020.Employment.SFR</v>
      </c>
      <c r="D475" s="530" t="s">
        <v>240</v>
      </c>
      <c r="E475" s="530" t="s">
        <v>20</v>
      </c>
      <c r="F475" s="530" t="s">
        <v>18</v>
      </c>
      <c r="G475" s="530" t="s">
        <v>18</v>
      </c>
      <c r="H475" s="530">
        <v>263.2055340946448</v>
      </c>
      <c r="I475" s="530">
        <v>88.43705945580065</v>
      </c>
      <c r="J475" s="530">
        <v>55.0902050686203</v>
      </c>
      <c r="K475" s="530">
        <v>0</v>
      </c>
      <c r="L475" s="530">
        <v>0</v>
      </c>
      <c r="M475" s="530">
        <v>0</v>
      </c>
      <c r="N475" s="530">
        <v>26.410306088509596</v>
      </c>
      <c r="O475" s="530">
        <v>25.330969580823997</v>
      </c>
      <c r="P475" s="530">
        <v>0</v>
      </c>
      <c r="Q475" s="530">
        <v>0</v>
      </c>
      <c r="R475" s="530">
        <v>0</v>
      </c>
      <c r="S475" s="530">
        <v>0</v>
      </c>
      <c r="T475" s="530">
        <v>38.20617285736661</v>
      </c>
      <c r="U475" s="530" t="s">
        <v>59</v>
      </c>
    </row>
    <row r="476" spans="1:21" ht="13.8" x14ac:dyDescent="0.3">
      <c r="A476" s="530" t="str">
        <f t="shared" si="14"/>
        <v>Gwynedd.2020.Employment.Day Visitor</v>
      </c>
      <c r="B476" s="530" t="s">
        <v>219</v>
      </c>
      <c r="C476" s="530" t="str">
        <f t="shared" si="15"/>
        <v>2020.Employment.Day Visitor</v>
      </c>
      <c r="D476" s="530" t="s">
        <v>240</v>
      </c>
      <c r="E476" s="530" t="s">
        <v>20</v>
      </c>
      <c r="F476" s="530" t="s">
        <v>71</v>
      </c>
      <c r="G476" s="530" t="s">
        <v>71</v>
      </c>
      <c r="H476" s="530">
        <v>260.17777713301746</v>
      </c>
      <c r="I476" s="530">
        <v>415.1582899116612</v>
      </c>
      <c r="J476" s="530">
        <v>1144.440799499811</v>
      </c>
      <c r="K476" s="530">
        <v>0</v>
      </c>
      <c r="L476" s="530">
        <v>0</v>
      </c>
      <c r="M476" s="530">
        <v>876.54912573210288</v>
      </c>
      <c r="N476" s="530">
        <v>2241.3040135917181</v>
      </c>
      <c r="O476" s="530">
        <v>4030.8683516141323</v>
      </c>
      <c r="P476" s="530">
        <v>2408.8266626650816</v>
      </c>
      <c r="Q476" s="530">
        <v>963.09127972781903</v>
      </c>
      <c r="R476" s="530">
        <v>390.99119884536441</v>
      </c>
      <c r="S476" s="530">
        <v>304.13710594396161</v>
      </c>
      <c r="T476" s="530">
        <v>1086.2953837220557</v>
      </c>
      <c r="U476" s="530" t="s">
        <v>59</v>
      </c>
    </row>
    <row r="477" spans="1:21" ht="13.8" x14ac:dyDescent="0.3">
      <c r="A477" s="530" t="str">
        <f t="shared" si="14"/>
        <v>Gwynedd.2020.Employment.Direct Employment</v>
      </c>
      <c r="B477" s="530" t="s">
        <v>219</v>
      </c>
      <c r="C477" s="530" t="str">
        <f t="shared" si="15"/>
        <v>2020.Employment.Direct Employment</v>
      </c>
      <c r="D477" s="530" t="s">
        <v>240</v>
      </c>
      <c r="E477" s="530" t="s">
        <v>20</v>
      </c>
      <c r="F477" s="530" t="s">
        <v>55</v>
      </c>
      <c r="G477" s="530" t="s">
        <v>55</v>
      </c>
      <c r="H477" s="530">
        <v>7684.9508546101988</v>
      </c>
      <c r="I477" s="530">
        <v>8138.7343532396453</v>
      </c>
      <c r="J477" s="530">
        <v>10912.377208119116</v>
      </c>
      <c r="K477" s="530">
        <v>0</v>
      </c>
      <c r="L477" s="530">
        <v>0</v>
      </c>
      <c r="M477" s="530">
        <v>876.54912573210288</v>
      </c>
      <c r="N477" s="530">
        <v>8472.1664296307299</v>
      </c>
      <c r="O477" s="530">
        <v>21039.410308656676</v>
      </c>
      <c r="P477" s="530">
        <v>17569.110159736796</v>
      </c>
      <c r="Q477" s="530">
        <v>10135.398972231271</v>
      </c>
      <c r="R477" s="530">
        <v>4545.4616570313619</v>
      </c>
      <c r="S477" s="530">
        <v>3739.2898712585384</v>
      </c>
      <c r="T477" s="530">
        <v>7759.4540783538714</v>
      </c>
      <c r="U477" s="530" t="s">
        <v>59</v>
      </c>
    </row>
    <row r="478" spans="1:21" ht="13.8" x14ac:dyDescent="0.3">
      <c r="A478" s="530" t="str">
        <f t="shared" si="14"/>
        <v>Gwynedd.2020.Employment.Indirect Employment</v>
      </c>
      <c r="B478" s="530" t="s">
        <v>219</v>
      </c>
      <c r="C478" s="530" t="str">
        <f t="shared" si="15"/>
        <v>2020.Employment.Indirect Employment</v>
      </c>
      <c r="D478" s="530" t="s">
        <v>240</v>
      </c>
      <c r="E478" s="530" t="s">
        <v>20</v>
      </c>
      <c r="F478" s="530" t="s">
        <v>53</v>
      </c>
      <c r="G478" s="530" t="s">
        <v>53</v>
      </c>
      <c r="H478" s="530">
        <v>1040.5006268014963</v>
      </c>
      <c r="I478" s="530">
        <v>1250.9077612360225</v>
      </c>
      <c r="J478" s="530">
        <v>2517.3399860852805</v>
      </c>
      <c r="K478" s="530">
        <v>0</v>
      </c>
      <c r="L478" s="530">
        <v>0</v>
      </c>
      <c r="M478" s="530">
        <v>213.77257850035812</v>
      </c>
      <c r="N478" s="530">
        <v>2406.3569098791545</v>
      </c>
      <c r="O478" s="530">
        <v>6097.5951041160624</v>
      </c>
      <c r="P478" s="530">
        <v>5058.5965849508902</v>
      </c>
      <c r="Q478" s="530">
        <v>2202.8850625448713</v>
      </c>
      <c r="R478" s="530">
        <v>604.48207702776801</v>
      </c>
      <c r="S478" s="530">
        <v>347.46156390036475</v>
      </c>
      <c r="T478" s="530">
        <v>1811.6581879201892</v>
      </c>
      <c r="U478" s="530" t="s">
        <v>59</v>
      </c>
    </row>
    <row r="479" spans="1:21" ht="13.8" x14ac:dyDescent="0.3">
      <c r="A479" s="530" t="str">
        <f t="shared" si="14"/>
        <v>Gwynedd.2020.Employment.Total</v>
      </c>
      <c r="B479" s="530" t="s">
        <v>219</v>
      </c>
      <c r="C479" s="530" t="str">
        <f t="shared" si="15"/>
        <v>2020.Employment.Total</v>
      </c>
      <c r="D479" s="530" t="s">
        <v>240</v>
      </c>
      <c r="E479" s="530" t="s">
        <v>20</v>
      </c>
      <c r="F479" s="530" t="s">
        <v>54</v>
      </c>
      <c r="G479" s="530" t="s">
        <v>54</v>
      </c>
      <c r="H479" s="530">
        <v>8725.4514814116956</v>
      </c>
      <c r="I479" s="530">
        <v>9389.6421144756678</v>
      </c>
      <c r="J479" s="530">
        <v>13429.717194204397</v>
      </c>
      <c r="K479" s="530">
        <v>0</v>
      </c>
      <c r="L479" s="530">
        <v>0</v>
      </c>
      <c r="M479" s="530">
        <v>1090.3217042324609</v>
      </c>
      <c r="N479" s="530">
        <v>10878.523339509884</v>
      </c>
      <c r="O479" s="530">
        <v>27137.005412772738</v>
      </c>
      <c r="P479" s="530">
        <v>22627.706744687686</v>
      </c>
      <c r="Q479" s="530">
        <v>12338.284034776141</v>
      </c>
      <c r="R479" s="530">
        <v>5149.9437340591303</v>
      </c>
      <c r="S479" s="530">
        <v>4086.751435158903</v>
      </c>
      <c r="T479" s="530">
        <v>9571.1122662740581</v>
      </c>
      <c r="U479" s="530" t="s">
        <v>59</v>
      </c>
    </row>
    <row r="480" spans="1:21" ht="13.8" x14ac:dyDescent="0.3">
      <c r="A480" s="530" t="str">
        <f t="shared" si="14"/>
        <v>Gwynedd.2020.Employment.Accommodation</v>
      </c>
      <c r="B480" s="530" t="s">
        <v>219</v>
      </c>
      <c r="C480" s="530" t="str">
        <f t="shared" si="15"/>
        <v>2020.Employment.Accommodation</v>
      </c>
      <c r="D480" s="530" t="s">
        <v>240</v>
      </c>
      <c r="E480" s="530" t="s">
        <v>20</v>
      </c>
      <c r="F480" s="530" t="s">
        <v>23</v>
      </c>
      <c r="G480" s="530" t="s">
        <v>23</v>
      </c>
      <c r="H480" s="530">
        <v>5117.8999999999996</v>
      </c>
      <c r="I480" s="530">
        <v>5148.2</v>
      </c>
      <c r="J480" s="530">
        <v>4277.348</v>
      </c>
      <c r="K480" s="530">
        <v>0</v>
      </c>
      <c r="L480" s="530">
        <v>0</v>
      </c>
      <c r="M480" s="530">
        <v>0</v>
      </c>
      <c r="N480" s="530">
        <v>2844.3060000000005</v>
      </c>
      <c r="O480" s="530">
        <v>6175.9727000000021</v>
      </c>
      <c r="P480" s="530">
        <v>5697.8700000000008</v>
      </c>
      <c r="Q480" s="530">
        <v>3994.289806451613</v>
      </c>
      <c r="R480" s="530">
        <v>2791.8135000000002</v>
      </c>
      <c r="S480" s="530">
        <v>2796.5851200000002</v>
      </c>
      <c r="T480" s="530">
        <v>3237.0237605376351</v>
      </c>
      <c r="U480" s="530" t="s">
        <v>59</v>
      </c>
    </row>
    <row r="481" spans="1:21" ht="13.8" x14ac:dyDescent="0.3">
      <c r="A481" s="530" t="str">
        <f t="shared" si="14"/>
        <v>Gwynedd.2020.Employment.Food &amp; Drink</v>
      </c>
      <c r="B481" s="530" t="s">
        <v>219</v>
      </c>
      <c r="C481" s="530" t="str">
        <f t="shared" si="15"/>
        <v>2020.Employment.Food &amp; Drink</v>
      </c>
      <c r="D481" s="530" t="s">
        <v>240</v>
      </c>
      <c r="E481" s="530" t="s">
        <v>20</v>
      </c>
      <c r="F481" s="530" t="s">
        <v>49</v>
      </c>
      <c r="G481" s="530" t="s">
        <v>49</v>
      </c>
      <c r="H481" s="530">
        <v>1041.9396321660488</v>
      </c>
      <c r="I481" s="530">
        <v>1169.5157816204382</v>
      </c>
      <c r="J481" s="530">
        <v>2499.3376889182605</v>
      </c>
      <c r="K481" s="530">
        <v>0</v>
      </c>
      <c r="L481" s="530">
        <v>0</v>
      </c>
      <c r="M481" s="530">
        <v>126.92202602536409</v>
      </c>
      <c r="N481" s="530">
        <v>2563.3393969984436</v>
      </c>
      <c r="O481" s="530">
        <v>6629.7052849290822</v>
      </c>
      <c r="P481" s="530">
        <v>5428.1069751446585</v>
      </c>
      <c r="Q481" s="530">
        <v>3116.6872057268006</v>
      </c>
      <c r="R481" s="530">
        <v>763.66831637516987</v>
      </c>
      <c r="S481" s="530">
        <v>408.23100409720627</v>
      </c>
      <c r="T481" s="530">
        <v>1978.9544426667896</v>
      </c>
      <c r="U481" s="530" t="s">
        <v>59</v>
      </c>
    </row>
    <row r="482" spans="1:21" ht="13.8" x14ac:dyDescent="0.3">
      <c r="A482" s="530" t="str">
        <f t="shared" si="14"/>
        <v>Gwynedd.2020.Employment.Recreation</v>
      </c>
      <c r="B482" s="530" t="s">
        <v>219</v>
      </c>
      <c r="C482" s="530" t="str">
        <f t="shared" si="15"/>
        <v>2020.Employment.Recreation</v>
      </c>
      <c r="D482" s="530" t="s">
        <v>240</v>
      </c>
      <c r="E482" s="530" t="s">
        <v>20</v>
      </c>
      <c r="F482" s="530" t="s">
        <v>50</v>
      </c>
      <c r="G482" s="530" t="s">
        <v>50</v>
      </c>
      <c r="H482" s="530">
        <v>281.78232435815505</v>
      </c>
      <c r="I482" s="530">
        <v>368.43710556227137</v>
      </c>
      <c r="J482" s="530">
        <v>1086.487715946113</v>
      </c>
      <c r="K482" s="530">
        <v>0</v>
      </c>
      <c r="L482" s="530">
        <v>0</v>
      </c>
      <c r="M482" s="530">
        <v>40.300286619843867</v>
      </c>
      <c r="N482" s="530">
        <v>855.19636217303957</v>
      </c>
      <c r="O482" s="530">
        <v>2268.7589575271691</v>
      </c>
      <c r="P482" s="530">
        <v>1860.38984664903</v>
      </c>
      <c r="Q482" s="530">
        <v>1037.0528833009039</v>
      </c>
      <c r="R482" s="530">
        <v>387.101823712532</v>
      </c>
      <c r="S482" s="530">
        <v>176.55764883105081</v>
      </c>
      <c r="T482" s="530">
        <v>696.83874622334235</v>
      </c>
      <c r="U482" s="530" t="s">
        <v>59</v>
      </c>
    </row>
    <row r="483" spans="1:21" ht="13.8" x14ac:dyDescent="0.3">
      <c r="A483" s="530" t="str">
        <f t="shared" si="14"/>
        <v>Gwynedd.2020.Employment.Shopping</v>
      </c>
      <c r="B483" s="530" t="s">
        <v>219</v>
      </c>
      <c r="C483" s="530" t="str">
        <f t="shared" si="15"/>
        <v>2020.Employment.Shopping</v>
      </c>
      <c r="D483" s="530" t="s">
        <v>240</v>
      </c>
      <c r="E483" s="530" t="s">
        <v>20</v>
      </c>
      <c r="F483" s="530" t="s">
        <v>51</v>
      </c>
      <c r="G483" s="530" t="s">
        <v>51</v>
      </c>
      <c r="H483" s="530">
        <v>1076.119591709981</v>
      </c>
      <c r="I483" s="530">
        <v>1250.8656027160534</v>
      </c>
      <c r="J483" s="530">
        <v>2562.7467372020674</v>
      </c>
      <c r="K483" s="530">
        <v>0</v>
      </c>
      <c r="L483" s="530">
        <v>0</v>
      </c>
      <c r="M483" s="530">
        <v>651.17662189901853</v>
      </c>
      <c r="N483" s="530">
        <v>1931.7185934503188</v>
      </c>
      <c r="O483" s="530">
        <v>5130.9085240727254</v>
      </c>
      <c r="P483" s="530">
        <v>3914.141151704061</v>
      </c>
      <c r="Q483" s="530">
        <v>1700.1574130034301</v>
      </c>
      <c r="R483" s="530">
        <v>517.03122754202877</v>
      </c>
      <c r="S483" s="530">
        <v>313.43941256038886</v>
      </c>
      <c r="T483" s="530">
        <v>1587.3587396550065</v>
      </c>
      <c r="U483" s="530" t="s">
        <v>59</v>
      </c>
    </row>
    <row r="484" spans="1:21" ht="13.8" x14ac:dyDescent="0.3">
      <c r="A484" s="530" t="str">
        <f t="shared" si="14"/>
        <v>Gwynedd.2020.Employment.Transport</v>
      </c>
      <c r="B484" s="530" t="s">
        <v>219</v>
      </c>
      <c r="C484" s="530" t="str">
        <f t="shared" si="15"/>
        <v>2020.Employment.Transport</v>
      </c>
      <c r="D484" s="530" t="s">
        <v>240</v>
      </c>
      <c r="E484" s="530" t="s">
        <v>20</v>
      </c>
      <c r="F484" s="530" t="s">
        <v>52</v>
      </c>
      <c r="G484" s="530" t="s">
        <v>52</v>
      </c>
      <c r="H484" s="530">
        <v>167.20930637601498</v>
      </c>
      <c r="I484" s="530">
        <v>201.71586334088121</v>
      </c>
      <c r="J484" s="530">
        <v>486.45706605267452</v>
      </c>
      <c r="K484" s="530">
        <v>0</v>
      </c>
      <c r="L484" s="530">
        <v>0</v>
      </c>
      <c r="M484" s="530">
        <v>58.150191187876395</v>
      </c>
      <c r="N484" s="530">
        <v>277.60607700892808</v>
      </c>
      <c r="O484" s="530">
        <v>834.06484212769647</v>
      </c>
      <c r="P484" s="530">
        <v>668.60218623904882</v>
      </c>
      <c r="Q484" s="530">
        <v>287.21166374852163</v>
      </c>
      <c r="R484" s="530">
        <v>85.846789401631284</v>
      </c>
      <c r="S484" s="530">
        <v>44.476685769892498</v>
      </c>
      <c r="T484" s="530">
        <v>259.27838927109713</v>
      </c>
      <c r="U484" s="530" t="s">
        <v>59</v>
      </c>
    </row>
    <row r="485" spans="1:21" ht="13.8" x14ac:dyDescent="0.3">
      <c r="A485" s="530" t="str">
        <f t="shared" si="14"/>
        <v>Gwynedd.2020.Visitor Days.Serviced Accommodation</v>
      </c>
      <c r="B485" s="530" t="s">
        <v>219</v>
      </c>
      <c r="C485" s="530" t="str">
        <f t="shared" si="15"/>
        <v>2020.Visitor Days.Serviced Accommodation</v>
      </c>
      <c r="D485" s="530" t="s">
        <v>240</v>
      </c>
      <c r="E485" s="530" t="s">
        <v>171</v>
      </c>
      <c r="F485" s="530" t="s">
        <v>43</v>
      </c>
      <c r="G485" s="530" t="s">
        <v>43</v>
      </c>
      <c r="H485" s="530">
        <v>41.215843457066384</v>
      </c>
      <c r="I485" s="530">
        <v>47.523720245323773</v>
      </c>
      <c r="J485" s="530">
        <v>30.673772108588214</v>
      </c>
      <c r="K485" s="530">
        <v>0</v>
      </c>
      <c r="L485" s="530">
        <v>0</v>
      </c>
      <c r="M485" s="530">
        <v>0</v>
      </c>
      <c r="N485" s="530">
        <v>3.0937033489084067</v>
      </c>
      <c r="O485" s="530">
        <v>84.982024191505829</v>
      </c>
      <c r="P485" s="530">
        <v>65.403678909447649</v>
      </c>
      <c r="Q485" s="530">
        <v>23.273881919505634</v>
      </c>
      <c r="R485" s="530">
        <v>16.381504495744789</v>
      </c>
      <c r="S485" s="530">
        <v>5.0667274967692766</v>
      </c>
      <c r="T485" s="530">
        <v>317.6148561728599</v>
      </c>
      <c r="U485" s="530" t="s">
        <v>61</v>
      </c>
    </row>
    <row r="486" spans="1:21" ht="13.8" x14ac:dyDescent="0.3">
      <c r="A486" s="530" t="str">
        <f t="shared" si="14"/>
        <v>Gwynedd.2020.Visitor Days.Non-Serviced Accommodation</v>
      </c>
      <c r="B486" s="530" t="s">
        <v>219</v>
      </c>
      <c r="C486" s="530" t="str">
        <f t="shared" si="15"/>
        <v>2020.Visitor Days.Non-Serviced Accommodation</v>
      </c>
      <c r="D486" s="530" t="s">
        <v>240</v>
      </c>
      <c r="E486" s="530" t="s">
        <v>171</v>
      </c>
      <c r="F486" s="530" t="s">
        <v>48</v>
      </c>
      <c r="G486" s="530" t="s">
        <v>48</v>
      </c>
      <c r="H486" s="530">
        <v>442.17754072484894</v>
      </c>
      <c r="I486" s="530">
        <v>520.20885846999647</v>
      </c>
      <c r="J486" s="530">
        <v>1133.0049712612661</v>
      </c>
      <c r="K486" s="530">
        <v>0</v>
      </c>
      <c r="L486" s="530">
        <v>0</v>
      </c>
      <c r="M486" s="530">
        <v>0</v>
      </c>
      <c r="N486" s="530">
        <v>588.44988560725028</v>
      </c>
      <c r="O486" s="530">
        <v>1928.3175903906299</v>
      </c>
      <c r="P486" s="530">
        <v>1714.3393685368633</v>
      </c>
      <c r="Q486" s="530">
        <v>820.32744463746985</v>
      </c>
      <c r="R486" s="530">
        <v>171.35235271497066</v>
      </c>
      <c r="S486" s="530">
        <v>87.228157793373683</v>
      </c>
      <c r="T486" s="530">
        <v>7405.4061701366682</v>
      </c>
      <c r="U486" s="530" t="s">
        <v>61</v>
      </c>
    </row>
    <row r="487" spans="1:21" ht="13.8" x14ac:dyDescent="0.3">
      <c r="A487" s="530" t="str">
        <f t="shared" si="14"/>
        <v>Gwynedd.2020.Visitor Days.SFR</v>
      </c>
      <c r="B487" s="530" t="s">
        <v>219</v>
      </c>
      <c r="C487" s="530" t="str">
        <f t="shared" si="15"/>
        <v>2020.Visitor Days.SFR</v>
      </c>
      <c r="D487" s="530" t="s">
        <v>240</v>
      </c>
      <c r="E487" s="530" t="s">
        <v>171</v>
      </c>
      <c r="F487" s="530" t="s">
        <v>18</v>
      </c>
      <c r="G487" s="530" t="s">
        <v>18</v>
      </c>
      <c r="H487" s="530">
        <v>63.695454545454545</v>
      </c>
      <c r="I487" s="530">
        <v>21.401672727272725</v>
      </c>
      <c r="J487" s="530">
        <v>13.331770036363638</v>
      </c>
      <c r="K487" s="530">
        <v>0</v>
      </c>
      <c r="L487" s="530">
        <v>0</v>
      </c>
      <c r="M487" s="530">
        <v>0</v>
      </c>
      <c r="N487" s="530">
        <v>4.6710000000000003</v>
      </c>
      <c r="O487" s="530">
        <v>4.9446922909090905</v>
      </c>
      <c r="P487" s="530">
        <v>0</v>
      </c>
      <c r="Q487" s="530">
        <v>0</v>
      </c>
      <c r="R487" s="530">
        <v>0</v>
      </c>
      <c r="S487" s="530">
        <v>0</v>
      </c>
      <c r="T487" s="530">
        <v>108.04458960000001</v>
      </c>
      <c r="U487" s="530" t="s">
        <v>61</v>
      </c>
    </row>
    <row r="488" spans="1:21" ht="13.8" x14ac:dyDescent="0.3">
      <c r="A488" s="530" t="str">
        <f t="shared" si="14"/>
        <v>Gwynedd.2020.Visitor Days.Day Visitor</v>
      </c>
      <c r="B488" s="530" t="s">
        <v>219</v>
      </c>
      <c r="C488" s="530" t="str">
        <f t="shared" si="15"/>
        <v>2020.Visitor Days.Day Visitor</v>
      </c>
      <c r="D488" s="530" t="s">
        <v>240</v>
      </c>
      <c r="E488" s="530" t="s">
        <v>171</v>
      </c>
      <c r="F488" s="530" t="s">
        <v>71</v>
      </c>
      <c r="G488" s="530" t="s">
        <v>71</v>
      </c>
      <c r="H488" s="530">
        <v>48.764170008076483</v>
      </c>
      <c r="I488" s="530">
        <v>77.811601177468162</v>
      </c>
      <c r="J488" s="530">
        <v>214.49835695404423</v>
      </c>
      <c r="K488" s="530">
        <v>33.989533799129227</v>
      </c>
      <c r="L488" s="530">
        <v>39.675072207145384</v>
      </c>
      <c r="M488" s="530">
        <v>49.52635903489977</v>
      </c>
      <c r="N488" s="530">
        <v>335.61214354018364</v>
      </c>
      <c r="O488" s="530">
        <v>649.47639650376868</v>
      </c>
      <c r="P488" s="530">
        <v>388.12382945809509</v>
      </c>
      <c r="Q488" s="530">
        <v>136.38834857690762</v>
      </c>
      <c r="R488" s="530">
        <v>55.370290481391649</v>
      </c>
      <c r="S488" s="530">
        <v>43.070432152993718</v>
      </c>
      <c r="T488" s="530">
        <v>2072.3065338941037</v>
      </c>
      <c r="U488" s="530" t="s">
        <v>61</v>
      </c>
    </row>
    <row r="489" spans="1:21" ht="13.8" x14ac:dyDescent="0.3">
      <c r="A489" s="530" t="str">
        <f t="shared" si="14"/>
        <v>Gwynedd.2020.Visitor Days.Total</v>
      </c>
      <c r="B489" s="530" t="s">
        <v>219</v>
      </c>
      <c r="C489" s="530" t="str">
        <f t="shared" si="15"/>
        <v>2020.Visitor Days.Total</v>
      </c>
      <c r="D489" s="530" t="s">
        <v>240</v>
      </c>
      <c r="E489" s="530" t="s">
        <v>171</v>
      </c>
      <c r="F489" s="530" t="s">
        <v>54</v>
      </c>
      <c r="G489" s="530" t="s">
        <v>54</v>
      </c>
      <c r="H489" s="530">
        <v>595.85300873544634</v>
      </c>
      <c r="I489" s="530">
        <v>666.94585262006103</v>
      </c>
      <c r="J489" s="530">
        <v>1391.5088703602623</v>
      </c>
      <c r="K489" s="530">
        <v>33.989533799129227</v>
      </c>
      <c r="L489" s="530">
        <v>39.675072207145384</v>
      </c>
      <c r="M489" s="530">
        <v>49.52635903489977</v>
      </c>
      <c r="N489" s="530">
        <v>931.8267324963424</v>
      </c>
      <c r="O489" s="530">
        <v>2667.7207033768136</v>
      </c>
      <c r="P489" s="530">
        <v>2167.8668769044061</v>
      </c>
      <c r="Q489" s="530">
        <v>979.98967513388311</v>
      </c>
      <c r="R489" s="530">
        <v>243.10414769210712</v>
      </c>
      <c r="S489" s="530">
        <v>135.36531744313669</v>
      </c>
      <c r="T489" s="530">
        <v>9903.3721498036339</v>
      </c>
      <c r="U489" s="530" t="s">
        <v>61</v>
      </c>
    </row>
    <row r="490" spans="1:21" ht="13.8" x14ac:dyDescent="0.3">
      <c r="A490" s="530" t="str">
        <f t="shared" si="14"/>
        <v>Gwynedd.2020.Visitor Numbers.Serviced Accommodation</v>
      </c>
      <c r="B490" s="530" t="s">
        <v>219</v>
      </c>
      <c r="C490" s="530" t="str">
        <f t="shared" si="15"/>
        <v>2020.Visitor Numbers.Serviced Accommodation</v>
      </c>
      <c r="D490" s="530" t="s">
        <v>240</v>
      </c>
      <c r="E490" s="530" t="s">
        <v>172</v>
      </c>
      <c r="F490" s="530" t="s">
        <v>43</v>
      </c>
      <c r="G490" s="530" t="s">
        <v>43</v>
      </c>
      <c r="H490" s="530">
        <v>27.186419964803672</v>
      </c>
      <c r="I490" s="530">
        <v>30.892955678820179</v>
      </c>
      <c r="J490" s="530">
        <v>14.993598387698645</v>
      </c>
      <c r="K490" s="530">
        <v>0</v>
      </c>
      <c r="L490" s="530">
        <v>0</v>
      </c>
      <c r="M490" s="530">
        <v>0</v>
      </c>
      <c r="N490" s="530">
        <v>1.7624816673374211</v>
      </c>
      <c r="O490" s="530">
        <v>48.176044938258165</v>
      </c>
      <c r="P490" s="530">
        <v>33.285798658448854</v>
      </c>
      <c r="Q490" s="530">
        <v>13.34928213525475</v>
      </c>
      <c r="R490" s="530">
        <v>9.6303022608436777</v>
      </c>
      <c r="S490" s="530">
        <v>3.0728306176714044</v>
      </c>
      <c r="T490" s="530">
        <v>182.34971430913677</v>
      </c>
      <c r="U490" s="530" t="s">
        <v>61</v>
      </c>
    </row>
    <row r="491" spans="1:21" ht="13.8" x14ac:dyDescent="0.3">
      <c r="A491" s="530" t="str">
        <f t="shared" si="14"/>
        <v>Gwynedd.2020.Visitor Numbers.Non-Serviced Accommodation</v>
      </c>
      <c r="B491" s="530" t="s">
        <v>219</v>
      </c>
      <c r="C491" s="530" t="str">
        <f t="shared" si="15"/>
        <v>2020.Visitor Numbers.Non-Serviced Accommodation</v>
      </c>
      <c r="D491" s="530" t="s">
        <v>240</v>
      </c>
      <c r="E491" s="530" t="s">
        <v>172</v>
      </c>
      <c r="F491" s="530" t="s">
        <v>48</v>
      </c>
      <c r="G491" s="530" t="s">
        <v>48</v>
      </c>
      <c r="H491" s="530">
        <v>129.9018390517225</v>
      </c>
      <c r="I491" s="530">
        <v>130.34352671605279</v>
      </c>
      <c r="J491" s="530">
        <v>240.40763402351598</v>
      </c>
      <c r="K491" s="530">
        <v>0</v>
      </c>
      <c r="L491" s="530">
        <v>0</v>
      </c>
      <c r="M491" s="530">
        <v>0</v>
      </c>
      <c r="N491" s="530">
        <v>93.2489909576054</v>
      </c>
      <c r="O491" s="530">
        <v>268.34275274140566</v>
      </c>
      <c r="P491" s="530">
        <v>275.71812674027001</v>
      </c>
      <c r="Q491" s="530">
        <v>132.58074893115651</v>
      </c>
      <c r="R491" s="530">
        <v>38.078300603326817</v>
      </c>
      <c r="S491" s="530">
        <v>15.57645674881673</v>
      </c>
      <c r="T491" s="530">
        <v>1324.1983765138723</v>
      </c>
      <c r="U491" s="530" t="s">
        <v>61</v>
      </c>
    </row>
    <row r="492" spans="1:21" ht="13.8" x14ac:dyDescent="0.3">
      <c r="A492" s="530" t="str">
        <f t="shared" si="14"/>
        <v>Gwynedd.2020.Visitor Numbers.SFR</v>
      </c>
      <c r="B492" s="530" t="s">
        <v>219</v>
      </c>
      <c r="C492" s="530" t="str">
        <f t="shared" si="15"/>
        <v>2020.Visitor Numbers.SFR</v>
      </c>
      <c r="D492" s="530" t="s">
        <v>240</v>
      </c>
      <c r="E492" s="530" t="s">
        <v>172</v>
      </c>
      <c r="F492" s="530" t="s">
        <v>18</v>
      </c>
      <c r="G492" s="530" t="s">
        <v>18</v>
      </c>
      <c r="H492" s="530">
        <v>25.478181818181817</v>
      </c>
      <c r="I492" s="530">
        <v>10.191272727272725</v>
      </c>
      <c r="J492" s="530">
        <v>8.3794909090909098</v>
      </c>
      <c r="K492" s="530">
        <v>0</v>
      </c>
      <c r="L492" s="530">
        <v>0</v>
      </c>
      <c r="M492" s="530">
        <v>0</v>
      </c>
      <c r="N492" s="530">
        <v>1.8684000000000001</v>
      </c>
      <c r="O492" s="530">
        <v>1.901804727272727</v>
      </c>
      <c r="P492" s="530">
        <v>0</v>
      </c>
      <c r="Q492" s="530">
        <v>0</v>
      </c>
      <c r="R492" s="530">
        <v>0</v>
      </c>
      <c r="S492" s="530">
        <v>0</v>
      </c>
      <c r="T492" s="530">
        <v>47.819150181818181</v>
      </c>
      <c r="U492" s="530" t="s">
        <v>61</v>
      </c>
    </row>
    <row r="493" spans="1:21" ht="13.8" x14ac:dyDescent="0.3">
      <c r="A493" s="530" t="str">
        <f t="shared" si="14"/>
        <v>Gwynedd.2020.Visitor Numbers.Day Visitor</v>
      </c>
      <c r="B493" s="530" t="s">
        <v>219</v>
      </c>
      <c r="C493" s="530" t="str">
        <f t="shared" si="15"/>
        <v>2020.Visitor Numbers.Day Visitor</v>
      </c>
      <c r="D493" s="530" t="s">
        <v>240</v>
      </c>
      <c r="E493" s="530" t="s">
        <v>172</v>
      </c>
      <c r="F493" s="530" t="s">
        <v>71</v>
      </c>
      <c r="G493" s="530" t="s">
        <v>71</v>
      </c>
      <c r="H493" s="530">
        <v>48.764170008076483</v>
      </c>
      <c r="I493" s="530">
        <v>77.811601177468162</v>
      </c>
      <c r="J493" s="530">
        <v>214.49835695404423</v>
      </c>
      <c r="K493" s="530">
        <v>33.989533799129227</v>
      </c>
      <c r="L493" s="530">
        <v>39.675072207145384</v>
      </c>
      <c r="M493" s="530">
        <v>49.52635903489977</v>
      </c>
      <c r="N493" s="530">
        <v>335.61214354018364</v>
      </c>
      <c r="O493" s="530">
        <v>649.47639650376868</v>
      </c>
      <c r="P493" s="530">
        <v>388.12382945809509</v>
      </c>
      <c r="Q493" s="530">
        <v>136.38834857690762</v>
      </c>
      <c r="R493" s="530">
        <v>55.370290481391649</v>
      </c>
      <c r="S493" s="530">
        <v>43.070432152993718</v>
      </c>
      <c r="T493" s="530">
        <v>2072.3065338941037</v>
      </c>
      <c r="U493" s="530" t="s">
        <v>61</v>
      </c>
    </row>
    <row r="494" spans="1:21" ht="13.8" x14ac:dyDescent="0.3">
      <c r="A494" s="530" t="str">
        <f t="shared" si="14"/>
        <v>Gwynedd.2020.Visitor Numbers.Total</v>
      </c>
      <c r="B494" s="530" t="s">
        <v>219</v>
      </c>
      <c r="C494" s="530" t="str">
        <f t="shared" si="15"/>
        <v>2020.Visitor Numbers.Total</v>
      </c>
      <c r="D494" s="530" t="s">
        <v>240</v>
      </c>
      <c r="E494" s="530" t="s">
        <v>172</v>
      </c>
      <c r="F494" s="530" t="s">
        <v>54</v>
      </c>
      <c r="G494" s="530" t="s">
        <v>54</v>
      </c>
      <c r="H494" s="530">
        <v>231.33061084278447</v>
      </c>
      <c r="I494" s="530">
        <v>249.23935629961386</v>
      </c>
      <c r="J494" s="530">
        <v>478.27908027434978</v>
      </c>
      <c r="K494" s="530">
        <v>33.989533799129227</v>
      </c>
      <c r="L494" s="530">
        <v>39.675072207145384</v>
      </c>
      <c r="M494" s="530">
        <v>49.52635903489977</v>
      </c>
      <c r="N494" s="530">
        <v>432.49201616512647</v>
      </c>
      <c r="O494" s="530">
        <v>967.89699891070518</v>
      </c>
      <c r="P494" s="530">
        <v>697.12775485681391</v>
      </c>
      <c r="Q494" s="530">
        <v>282.31837964331885</v>
      </c>
      <c r="R494" s="530">
        <v>103.07889334556214</v>
      </c>
      <c r="S494" s="530">
        <v>61.719719519481856</v>
      </c>
      <c r="T494" s="530">
        <v>3626.6737748989308</v>
      </c>
      <c r="U494" s="530" t="s">
        <v>61</v>
      </c>
    </row>
    <row r="495" spans="1:21" ht="13.8" x14ac:dyDescent="0.3">
      <c r="A495" s="530" t="str">
        <f t="shared" si="14"/>
        <v>Gwynedd.2020.Vehicle Days.Serviced Accommodation</v>
      </c>
      <c r="B495" s="530" t="s">
        <v>219</v>
      </c>
      <c r="C495" s="530" t="str">
        <f t="shared" si="15"/>
        <v>2020.Vehicle Days.Serviced Accommodation</v>
      </c>
      <c r="D495" s="530" t="s">
        <v>240</v>
      </c>
      <c r="E495" s="530" t="s">
        <v>21</v>
      </c>
      <c r="F495" s="530" t="s">
        <v>43</v>
      </c>
      <c r="G495" s="530" t="s">
        <v>43</v>
      </c>
      <c r="H495" s="530">
        <v>10.49850418273779</v>
      </c>
      <c r="I495" s="530">
        <v>16.240539142316706</v>
      </c>
      <c r="J495" s="530">
        <v>10.939321145483909</v>
      </c>
      <c r="K495" s="530">
        <v>0</v>
      </c>
      <c r="L495" s="530">
        <v>0</v>
      </c>
      <c r="M495" s="530">
        <v>0</v>
      </c>
      <c r="N495" s="530">
        <v>0.80005489931575147</v>
      </c>
      <c r="O495" s="530">
        <v>21.979253189756729</v>
      </c>
      <c r="P495" s="530">
        <v>16.918335894030601</v>
      </c>
      <c r="Q495" s="530">
        <v>6.830172517054689</v>
      </c>
      <c r="R495" s="530">
        <v>4.8418768204857923</v>
      </c>
      <c r="S495" s="530">
        <v>1.3118380642352747</v>
      </c>
      <c r="T495" s="530">
        <v>90.35989585541725</v>
      </c>
      <c r="U495" s="530" t="s">
        <v>61</v>
      </c>
    </row>
    <row r="496" spans="1:21" ht="13.8" x14ac:dyDescent="0.3">
      <c r="A496" s="530" t="str">
        <f t="shared" si="14"/>
        <v>Gwynedd.2020.Vehicle Days.Non-Serviced Accommodation</v>
      </c>
      <c r="B496" s="530" t="s">
        <v>219</v>
      </c>
      <c r="C496" s="530" t="str">
        <f t="shared" si="15"/>
        <v>2020.Vehicle Days.Non-Serviced Accommodation</v>
      </c>
      <c r="D496" s="530" t="s">
        <v>240</v>
      </c>
      <c r="E496" s="530" t="s">
        <v>21</v>
      </c>
      <c r="F496" s="530" t="s">
        <v>48</v>
      </c>
      <c r="G496" s="530" t="s">
        <v>48</v>
      </c>
      <c r="H496" s="530">
        <v>115.1459249920927</v>
      </c>
      <c r="I496" s="530">
        <v>157.04578169112978</v>
      </c>
      <c r="J496" s="530">
        <v>321.24712601953939</v>
      </c>
      <c r="K496" s="530">
        <v>0</v>
      </c>
      <c r="L496" s="530">
        <v>0</v>
      </c>
      <c r="M496" s="530">
        <v>0</v>
      </c>
      <c r="N496" s="530">
        <v>142.68647645652527</v>
      </c>
      <c r="O496" s="530">
        <v>478.35575449968729</v>
      </c>
      <c r="P496" s="530">
        <v>459.53408174058023</v>
      </c>
      <c r="Q496" s="530">
        <v>207.61899768743393</v>
      </c>
      <c r="R496" s="530">
        <v>49.395256704551883</v>
      </c>
      <c r="S496" s="530">
        <v>20.646512977020627</v>
      </c>
      <c r="T496" s="530">
        <v>1951.6759127685609</v>
      </c>
      <c r="U496" s="530" t="s">
        <v>61</v>
      </c>
    </row>
    <row r="497" spans="1:21" ht="13.8" x14ac:dyDescent="0.3">
      <c r="A497" s="530" t="str">
        <f t="shared" si="14"/>
        <v>Gwynedd.2020.Vehicle Days.SFR</v>
      </c>
      <c r="B497" s="530" t="s">
        <v>219</v>
      </c>
      <c r="C497" s="530" t="str">
        <f t="shared" si="15"/>
        <v>2020.Vehicle Days.SFR</v>
      </c>
      <c r="D497" s="530" t="s">
        <v>240</v>
      </c>
      <c r="E497" s="530" t="s">
        <v>21</v>
      </c>
      <c r="F497" s="530" t="s">
        <v>18</v>
      </c>
      <c r="G497" s="530" t="s">
        <v>18</v>
      </c>
      <c r="H497" s="530">
        <v>19.957909090909087</v>
      </c>
      <c r="I497" s="530">
        <v>6.7058574545454537</v>
      </c>
      <c r="J497" s="530">
        <v>4.1772879447272731</v>
      </c>
      <c r="K497" s="530">
        <v>0</v>
      </c>
      <c r="L497" s="530">
        <v>0</v>
      </c>
      <c r="M497" s="530">
        <v>0</v>
      </c>
      <c r="N497" s="530">
        <v>1.4635800000000001</v>
      </c>
      <c r="O497" s="530">
        <v>1.5493369178181817</v>
      </c>
      <c r="P497" s="530">
        <v>0</v>
      </c>
      <c r="Q497" s="530">
        <v>0</v>
      </c>
      <c r="R497" s="530">
        <v>0</v>
      </c>
      <c r="S497" s="530">
        <v>0</v>
      </c>
      <c r="T497" s="530">
        <v>33.853971407999992</v>
      </c>
      <c r="U497" s="530" t="s">
        <v>61</v>
      </c>
    </row>
    <row r="498" spans="1:21" ht="13.8" x14ac:dyDescent="0.3">
      <c r="A498" s="530" t="str">
        <f t="shared" si="14"/>
        <v>Gwynedd.2020.Vehicle Days.Day Visitor</v>
      </c>
      <c r="B498" s="530" t="s">
        <v>219</v>
      </c>
      <c r="C498" s="530" t="str">
        <f t="shared" si="15"/>
        <v>2020.Vehicle Days.Day Visitor</v>
      </c>
      <c r="D498" s="530" t="s">
        <v>240</v>
      </c>
      <c r="E498" s="530" t="s">
        <v>21</v>
      </c>
      <c r="F498" s="530" t="s">
        <v>71</v>
      </c>
      <c r="G498" s="530" t="s">
        <v>71</v>
      </c>
      <c r="H498" s="530">
        <v>10.728117401776826</v>
      </c>
      <c r="I498" s="530">
        <v>19.564059724620567</v>
      </c>
      <c r="J498" s="530">
        <v>53.931015462731125</v>
      </c>
      <c r="K498" s="530">
        <v>7.4776974358084303</v>
      </c>
      <c r="L498" s="530">
        <v>8.7285158855719853</v>
      </c>
      <c r="M498" s="530">
        <v>12.45234170020337</v>
      </c>
      <c r="N498" s="530">
        <v>73.8346715788404</v>
      </c>
      <c r="O498" s="530">
        <v>142.88480723082913</v>
      </c>
      <c r="P498" s="530">
        <v>85.387242480780927</v>
      </c>
      <c r="Q498" s="530">
        <v>34.291927642193919</v>
      </c>
      <c r="R498" s="530">
        <v>13.92167303532133</v>
      </c>
      <c r="S498" s="530">
        <v>9.4754950736586174</v>
      </c>
      <c r="T498" s="530">
        <v>472.67756465233663</v>
      </c>
      <c r="U498" s="530" t="s">
        <v>61</v>
      </c>
    </row>
    <row r="499" spans="1:21" ht="13.8" x14ac:dyDescent="0.3">
      <c r="A499" s="530" t="str">
        <f t="shared" si="14"/>
        <v>Gwynedd.2020.Vehicle Days.Total</v>
      </c>
      <c r="B499" s="530" t="s">
        <v>219</v>
      </c>
      <c r="C499" s="530" t="str">
        <f t="shared" si="15"/>
        <v>2020.Vehicle Days.Total</v>
      </c>
      <c r="D499" s="530" t="s">
        <v>240</v>
      </c>
      <c r="E499" s="530" t="s">
        <v>21</v>
      </c>
      <c r="F499" s="530" t="s">
        <v>54</v>
      </c>
      <c r="G499" s="530" t="s">
        <v>54</v>
      </c>
      <c r="H499" s="530">
        <v>156.33045566751639</v>
      </c>
      <c r="I499" s="530">
        <v>199.55623801261251</v>
      </c>
      <c r="J499" s="530">
        <v>390.29475057248169</v>
      </c>
      <c r="K499" s="530">
        <v>7.4776974358084303</v>
      </c>
      <c r="L499" s="530">
        <v>8.7285158855719853</v>
      </c>
      <c r="M499" s="530">
        <v>12.45234170020337</v>
      </c>
      <c r="N499" s="530">
        <v>218.7847829346814</v>
      </c>
      <c r="O499" s="530">
        <v>644.76915183809137</v>
      </c>
      <c r="P499" s="530">
        <v>561.83966011539178</v>
      </c>
      <c r="Q499" s="530">
        <v>248.74109784668252</v>
      </c>
      <c r="R499" s="530">
        <v>68.158806560359011</v>
      </c>
      <c r="S499" s="530">
        <v>31.43384611491452</v>
      </c>
      <c r="T499" s="530">
        <v>2548.5673446843148</v>
      </c>
      <c r="U499" s="530" t="s">
        <v>61</v>
      </c>
    </row>
    <row r="500" spans="1:21" ht="13.8" x14ac:dyDescent="0.3">
      <c r="A500" s="530" t="str">
        <f t="shared" si="14"/>
        <v>Gwynedd.2020.Vehicle Numbers.Serviced Accommodation</v>
      </c>
      <c r="B500" s="530" t="s">
        <v>219</v>
      </c>
      <c r="C500" s="530" t="str">
        <f t="shared" si="15"/>
        <v>2020.Vehicle Numbers.Serviced Accommodation</v>
      </c>
      <c r="D500" s="530" t="s">
        <v>240</v>
      </c>
      <c r="E500" s="530" t="s">
        <v>22</v>
      </c>
      <c r="F500" s="530" t="s">
        <v>43</v>
      </c>
      <c r="G500" s="530" t="s">
        <v>43</v>
      </c>
      <c r="H500" s="530">
        <v>6.8991297440606392</v>
      </c>
      <c r="I500" s="530">
        <v>10.545518842763142</v>
      </c>
      <c r="J500" s="530">
        <v>5.3479494909490182</v>
      </c>
      <c r="K500" s="530">
        <v>0</v>
      </c>
      <c r="L500" s="530">
        <v>0</v>
      </c>
      <c r="M500" s="530">
        <v>0</v>
      </c>
      <c r="N500" s="530">
        <v>0.45585191606304376</v>
      </c>
      <c r="O500" s="530">
        <v>12.464680578665655</v>
      </c>
      <c r="P500" s="530">
        <v>8.6109973399838076</v>
      </c>
      <c r="Q500" s="530">
        <v>3.9272187206939329</v>
      </c>
      <c r="R500" s="530">
        <v>2.8131492172336339</v>
      </c>
      <c r="S500" s="530">
        <v>0.79587424674748908</v>
      </c>
      <c r="T500" s="530">
        <v>51.860370097160363</v>
      </c>
      <c r="U500" s="530" t="s">
        <v>61</v>
      </c>
    </row>
    <row r="501" spans="1:21" ht="13.8" x14ac:dyDescent="0.3">
      <c r="A501" s="530" t="str">
        <f t="shared" si="14"/>
        <v>Gwynedd.2020.Vehicle Numbers.Non-Serviced Accommodation</v>
      </c>
      <c r="B501" s="530" t="s">
        <v>219</v>
      </c>
      <c r="C501" s="530" t="str">
        <f t="shared" si="15"/>
        <v>2020.Vehicle Numbers.Non-Serviced Accommodation</v>
      </c>
      <c r="D501" s="530" t="s">
        <v>240</v>
      </c>
      <c r="E501" s="530" t="s">
        <v>22</v>
      </c>
      <c r="F501" s="530" t="s">
        <v>48</v>
      </c>
      <c r="G501" s="530" t="s">
        <v>48</v>
      </c>
      <c r="H501" s="530">
        <v>33.824170309873899</v>
      </c>
      <c r="I501" s="530">
        <v>39.36539653487317</v>
      </c>
      <c r="J501" s="530">
        <v>68.192011653600147</v>
      </c>
      <c r="K501" s="530">
        <v>0</v>
      </c>
      <c r="L501" s="530">
        <v>0</v>
      </c>
      <c r="M501" s="530">
        <v>0</v>
      </c>
      <c r="N501" s="530">
        <v>22.563320925023607</v>
      </c>
      <c r="O501" s="530">
        <v>66.17037987084386</v>
      </c>
      <c r="P501" s="530">
        <v>74.503561287170683</v>
      </c>
      <c r="Q501" s="530">
        <v>33.62639390377462</v>
      </c>
      <c r="R501" s="530">
        <v>10.976723712122638</v>
      </c>
      <c r="S501" s="530">
        <v>3.6868773173251128</v>
      </c>
      <c r="T501" s="530">
        <v>352.90883551460774</v>
      </c>
      <c r="U501" s="530" t="s">
        <v>61</v>
      </c>
    </row>
    <row r="502" spans="1:21" ht="13.8" x14ac:dyDescent="0.3">
      <c r="A502" s="530" t="str">
        <f t="shared" si="14"/>
        <v>Gwynedd.2020.Vehicle Numbers.SFR</v>
      </c>
      <c r="B502" s="530" t="s">
        <v>219</v>
      </c>
      <c r="C502" s="530" t="str">
        <f t="shared" si="15"/>
        <v>2020.Vehicle Numbers.SFR</v>
      </c>
      <c r="D502" s="530" t="s">
        <v>240</v>
      </c>
      <c r="E502" s="530" t="s">
        <v>22</v>
      </c>
      <c r="F502" s="530" t="s">
        <v>18</v>
      </c>
      <c r="G502" s="530" t="s">
        <v>18</v>
      </c>
      <c r="H502" s="530">
        <v>7.9831636363636358</v>
      </c>
      <c r="I502" s="530">
        <v>3.1932654545454535</v>
      </c>
      <c r="J502" s="530">
        <v>2.6255738181818185</v>
      </c>
      <c r="K502" s="530">
        <v>0</v>
      </c>
      <c r="L502" s="530">
        <v>0</v>
      </c>
      <c r="M502" s="530">
        <v>0</v>
      </c>
      <c r="N502" s="530">
        <v>0.58543199999999995</v>
      </c>
      <c r="O502" s="530">
        <v>0.59589881454545446</v>
      </c>
      <c r="P502" s="530">
        <v>0</v>
      </c>
      <c r="Q502" s="530">
        <v>0</v>
      </c>
      <c r="R502" s="530">
        <v>0</v>
      </c>
      <c r="S502" s="530">
        <v>0</v>
      </c>
      <c r="T502" s="530">
        <v>14.983333723636362</v>
      </c>
      <c r="U502" s="530" t="s">
        <v>61</v>
      </c>
    </row>
    <row r="503" spans="1:21" ht="13.8" x14ac:dyDescent="0.3">
      <c r="A503" s="530" t="str">
        <f t="shared" si="14"/>
        <v>Gwynedd.2020.Vehicle Numbers.Day Visitor</v>
      </c>
      <c r="B503" s="530" t="s">
        <v>219</v>
      </c>
      <c r="C503" s="530" t="str">
        <f t="shared" si="15"/>
        <v>2020.Vehicle Numbers.Day Visitor</v>
      </c>
      <c r="D503" s="530" t="s">
        <v>240</v>
      </c>
      <c r="E503" s="530" t="s">
        <v>22</v>
      </c>
      <c r="F503" s="530" t="s">
        <v>71</v>
      </c>
      <c r="G503" s="530" t="s">
        <v>71</v>
      </c>
      <c r="H503" s="530">
        <v>10.728117401776826</v>
      </c>
      <c r="I503" s="530">
        <v>19.564059724620567</v>
      </c>
      <c r="J503" s="530">
        <v>53.931015462731125</v>
      </c>
      <c r="K503" s="530">
        <v>7.4776974358084303</v>
      </c>
      <c r="L503" s="530">
        <v>8.7285158855719853</v>
      </c>
      <c r="M503" s="530">
        <v>12.45234170020337</v>
      </c>
      <c r="N503" s="530">
        <v>73.8346715788404</v>
      </c>
      <c r="O503" s="530">
        <v>142.88480723082913</v>
      </c>
      <c r="P503" s="530">
        <v>85.387242480780927</v>
      </c>
      <c r="Q503" s="530">
        <v>34.291927642193919</v>
      </c>
      <c r="R503" s="530">
        <v>13.92167303532133</v>
      </c>
      <c r="S503" s="530">
        <v>9.4754950736586174</v>
      </c>
      <c r="T503" s="530">
        <v>472.67756465233663</v>
      </c>
      <c r="U503" s="530" t="s">
        <v>61</v>
      </c>
    </row>
    <row r="504" spans="1:21" ht="13.8" x14ac:dyDescent="0.3">
      <c r="A504" s="530" t="str">
        <f t="shared" si="14"/>
        <v>Gwynedd.2020.Vehicle Numbers.Total</v>
      </c>
      <c r="B504" s="530" t="s">
        <v>219</v>
      </c>
      <c r="C504" s="530" t="str">
        <f t="shared" si="15"/>
        <v>2020.Vehicle Numbers.Total</v>
      </c>
      <c r="D504" s="530" t="s">
        <v>240</v>
      </c>
      <c r="E504" s="530" t="s">
        <v>22</v>
      </c>
      <c r="F504" s="530" t="s">
        <v>54</v>
      </c>
      <c r="G504" s="530" t="s">
        <v>54</v>
      </c>
      <c r="H504" s="530">
        <v>59.434581092075</v>
      </c>
      <c r="I504" s="530">
        <v>72.668240556802331</v>
      </c>
      <c r="J504" s="530">
        <v>130.09655042546211</v>
      </c>
      <c r="K504" s="530">
        <v>7.4776974358084303</v>
      </c>
      <c r="L504" s="530">
        <v>8.7285158855719853</v>
      </c>
      <c r="M504" s="530">
        <v>12.45234170020337</v>
      </c>
      <c r="N504" s="530">
        <v>97.439276419927054</v>
      </c>
      <c r="O504" s="530">
        <v>222.1157664948841</v>
      </c>
      <c r="P504" s="530">
        <v>168.50180110793542</v>
      </c>
      <c r="Q504" s="530">
        <v>71.845540266662482</v>
      </c>
      <c r="R504" s="530">
        <v>27.711545964677601</v>
      </c>
      <c r="S504" s="530">
        <v>13.95824663773122</v>
      </c>
      <c r="T504" s="530">
        <v>892.43010398774118</v>
      </c>
      <c r="U504" s="530" t="s">
        <v>61</v>
      </c>
    </row>
    <row r="505" spans="1:21" ht="13.8" x14ac:dyDescent="0.3">
      <c r="A505" s="530" t="str">
        <f t="shared" si="14"/>
        <v>Gwynedd.2020.Accommodation.Serviced Accommodation</v>
      </c>
      <c r="B505" s="530" t="s">
        <v>219</v>
      </c>
      <c r="C505" s="530" t="str">
        <f t="shared" si="15"/>
        <v>2020.Accommodation.Serviced Accommodation</v>
      </c>
      <c r="D505" s="530" t="s">
        <v>240</v>
      </c>
      <c r="E505" s="530" t="s">
        <v>23</v>
      </c>
      <c r="F505" s="530" t="s">
        <v>43</v>
      </c>
      <c r="G505" s="530" t="s">
        <v>43</v>
      </c>
      <c r="H505" s="530">
        <v>5901</v>
      </c>
      <c r="I505" s="530">
        <v>6048</v>
      </c>
      <c r="J505" s="530">
        <v>4651.6400000000003</v>
      </c>
      <c r="K505" s="530">
        <v>0</v>
      </c>
      <c r="L505" s="530">
        <v>0</v>
      </c>
      <c r="M505" s="530">
        <v>0</v>
      </c>
      <c r="N505" s="530">
        <v>533.13561600000003</v>
      </c>
      <c r="O505" s="530">
        <v>4426.2191999999995</v>
      </c>
      <c r="P505" s="530">
        <v>4648.1040000000012</v>
      </c>
      <c r="Q505" s="530">
        <v>3286.5363290322584</v>
      </c>
      <c r="R505" s="530">
        <v>2731.3977599999998</v>
      </c>
      <c r="S505" s="530">
        <v>2068.9501140000002</v>
      </c>
      <c r="T505" s="530">
        <v>6048</v>
      </c>
      <c r="U505" s="530" t="s">
        <v>58</v>
      </c>
    </row>
    <row r="506" spans="1:21" ht="13.8" x14ac:dyDescent="0.3">
      <c r="A506" s="530" t="str">
        <f t="shared" si="14"/>
        <v>Gwynedd.2020.Accommodation.Non-Serviced Accommodation</v>
      </c>
      <c r="B506" s="530" t="s">
        <v>219</v>
      </c>
      <c r="C506" s="530" t="str">
        <f t="shared" si="15"/>
        <v>2020.Accommodation.Non-Serviced Accommodation</v>
      </c>
      <c r="D506" s="530" t="s">
        <v>240</v>
      </c>
      <c r="E506" s="530" t="s">
        <v>23</v>
      </c>
      <c r="F506" s="530" t="s">
        <v>48</v>
      </c>
      <c r="G506" s="530" t="s">
        <v>48</v>
      </c>
      <c r="H506" s="530">
        <v>43773.951153978313</v>
      </c>
      <c r="I506" s="530">
        <v>41837.69407427148</v>
      </c>
      <c r="J506" s="530">
        <v>70230.467343942437</v>
      </c>
      <c r="K506" s="530">
        <v>0</v>
      </c>
      <c r="L506" s="530">
        <v>0</v>
      </c>
      <c r="M506" s="530">
        <v>0</v>
      </c>
      <c r="N506" s="530">
        <v>40926.8934344386</v>
      </c>
      <c r="O506" s="530">
        <v>73603.636663405778</v>
      </c>
      <c r="P506" s="530">
        <v>82954.699743973135</v>
      </c>
      <c r="Q506" s="530">
        <v>51716.858768938553</v>
      </c>
      <c r="R506" s="530">
        <v>24292.700250000002</v>
      </c>
      <c r="S506" s="530">
        <v>16354.165590000001</v>
      </c>
      <c r="T506" s="530">
        <v>82954.699743973135</v>
      </c>
      <c r="U506" s="530" t="s">
        <v>58</v>
      </c>
    </row>
    <row r="507" spans="1:21" ht="13.8" x14ac:dyDescent="0.3">
      <c r="A507" s="530" t="str">
        <f t="shared" si="14"/>
        <v>Gwynedd.2020.Accommodation.Total</v>
      </c>
      <c r="B507" s="530" t="s">
        <v>219</v>
      </c>
      <c r="C507" s="530" t="str">
        <f t="shared" si="15"/>
        <v>2020.Accommodation.Total</v>
      </c>
      <c r="D507" s="530" t="s">
        <v>240</v>
      </c>
      <c r="E507" s="530" t="s">
        <v>23</v>
      </c>
      <c r="F507" s="530" t="s">
        <v>54</v>
      </c>
      <c r="G507" s="530" t="s">
        <v>54</v>
      </c>
      <c r="H507" s="530">
        <v>49674.951153978313</v>
      </c>
      <c r="I507" s="530">
        <v>47885.69407427148</v>
      </c>
      <c r="J507" s="530">
        <v>74882.107343942436</v>
      </c>
      <c r="K507" s="530">
        <v>0</v>
      </c>
      <c r="L507" s="530">
        <v>0</v>
      </c>
      <c r="M507" s="530">
        <v>0</v>
      </c>
      <c r="N507" s="530">
        <v>41460.029050438599</v>
      </c>
      <c r="O507" s="530">
        <v>78029.85586340577</v>
      </c>
      <c r="P507" s="530">
        <v>87602.803743973142</v>
      </c>
      <c r="Q507" s="530">
        <v>55003.39509797081</v>
      </c>
      <c r="R507" s="530">
        <v>27024.098010000002</v>
      </c>
      <c r="S507" s="530">
        <v>18423.115704</v>
      </c>
      <c r="T507" s="530">
        <v>87602.803743973142</v>
      </c>
      <c r="U507" s="530" t="s">
        <v>58</v>
      </c>
    </row>
    <row r="508" spans="1:21" ht="13.8" x14ac:dyDescent="0.3">
      <c r="A508" s="530" t="str">
        <f t="shared" si="14"/>
        <v>Gwynedd.2020.Economic Impact.Total</v>
      </c>
      <c r="B508" s="530" t="s">
        <v>219</v>
      </c>
      <c r="C508" s="530" t="str">
        <f t="shared" si="15"/>
        <v>2020.Economic Impact.Total</v>
      </c>
      <c r="D508" s="530" t="s">
        <v>240</v>
      </c>
      <c r="E508" s="530" t="s">
        <v>17</v>
      </c>
      <c r="F508" s="530" t="s">
        <v>54</v>
      </c>
      <c r="G508" s="530" t="s">
        <v>54</v>
      </c>
      <c r="H508" s="530">
        <v>31753.144585754555</v>
      </c>
      <c r="I508" s="530">
        <v>37968.407905791682</v>
      </c>
      <c r="J508" s="530">
        <v>77995.292021118512</v>
      </c>
      <c r="K508" s="530">
        <v>0</v>
      </c>
      <c r="L508" s="530">
        <v>0</v>
      </c>
      <c r="M508" s="530">
        <v>2479.4984722378604</v>
      </c>
      <c r="N508" s="530">
        <v>59056.621715111811</v>
      </c>
      <c r="O508" s="530">
        <v>159207.66718840608</v>
      </c>
      <c r="P508" s="530">
        <v>131127.62784029223</v>
      </c>
      <c r="Q508" s="530">
        <v>52755.731151447835</v>
      </c>
      <c r="R508" s="530">
        <v>14835.930659028547</v>
      </c>
      <c r="S508" s="530">
        <v>8250.4791527988509</v>
      </c>
      <c r="T508" s="530">
        <v>575430.40069198806</v>
      </c>
      <c r="U508" s="530" t="s">
        <v>57</v>
      </c>
    </row>
    <row r="509" spans="1:21" ht="13.8" x14ac:dyDescent="0.3">
      <c r="A509" s="530" t="str">
        <f t="shared" si="14"/>
        <v>Gwynedd.2021.Economic Impact.Indirect Expenditure</v>
      </c>
      <c r="B509" s="530" t="s">
        <v>219</v>
      </c>
      <c r="C509" s="530" t="str">
        <f t="shared" si="15"/>
        <v>2021.Economic Impact.Indirect Expenditure</v>
      </c>
      <c r="D509" s="530" t="s">
        <v>241</v>
      </c>
      <c r="E509" s="530" t="s">
        <v>17</v>
      </c>
      <c r="F509" s="530" t="s">
        <v>45</v>
      </c>
      <c r="G509" s="530" t="s">
        <v>45</v>
      </c>
      <c r="H509" s="530">
        <v>0</v>
      </c>
      <c r="I509" s="530">
        <v>0</v>
      </c>
      <c r="J509" s="530">
        <v>4849.8905662181551</v>
      </c>
      <c r="K509" s="530">
        <v>16593.134522950888</v>
      </c>
      <c r="L509" s="530">
        <v>21188.722905034505</v>
      </c>
      <c r="M509" s="530">
        <v>39165.186076177619</v>
      </c>
      <c r="N509" s="530">
        <v>47192.607153983568</v>
      </c>
      <c r="O509" s="530">
        <v>58368.307947824302</v>
      </c>
      <c r="P509" s="530">
        <v>48721.856746243007</v>
      </c>
      <c r="Q509" s="530">
        <v>40427.471186168455</v>
      </c>
      <c r="R509" s="530">
        <v>13939.167568133304</v>
      </c>
      <c r="S509" s="530">
        <v>16218.17931820694</v>
      </c>
      <c r="T509" s="530">
        <v>306664.52399094077</v>
      </c>
      <c r="U509" s="530" t="s">
        <v>57</v>
      </c>
    </row>
    <row r="510" spans="1:21" ht="13.8" x14ac:dyDescent="0.3">
      <c r="A510" s="530" t="str">
        <f t="shared" si="14"/>
        <v>Gwynedd.2021.Economic Impact.Direct Revenue</v>
      </c>
      <c r="B510" s="530" t="s">
        <v>219</v>
      </c>
      <c r="C510" s="530" t="str">
        <f t="shared" si="15"/>
        <v>2021.Economic Impact.Direct Revenue</v>
      </c>
      <c r="D510" s="530" t="s">
        <v>241</v>
      </c>
      <c r="E510" s="530" t="s">
        <v>17</v>
      </c>
      <c r="F510" s="530" t="s">
        <v>46</v>
      </c>
      <c r="G510" s="530" t="s">
        <v>46</v>
      </c>
      <c r="H510" s="530">
        <v>0</v>
      </c>
      <c r="I510" s="530">
        <v>0</v>
      </c>
      <c r="J510" s="530">
        <v>11908.204071954469</v>
      </c>
      <c r="K510" s="530">
        <v>38061.789874092799</v>
      </c>
      <c r="L510" s="530">
        <v>49494.49328646894</v>
      </c>
      <c r="M510" s="530">
        <v>95709.791353390639</v>
      </c>
      <c r="N510" s="530">
        <v>117292.48620803157</v>
      </c>
      <c r="O510" s="530">
        <v>146776.40501519333</v>
      </c>
      <c r="P510" s="530">
        <v>121391.23896314431</v>
      </c>
      <c r="Q510" s="530">
        <v>96897.093826790981</v>
      </c>
      <c r="R510" s="530">
        <v>32861.200426377778</v>
      </c>
      <c r="S510" s="530">
        <v>36420.939586385692</v>
      </c>
      <c r="T510" s="530">
        <v>746813.64261183061</v>
      </c>
      <c r="U510" s="530" t="s">
        <v>57</v>
      </c>
    </row>
    <row r="511" spans="1:21" ht="13.8" x14ac:dyDescent="0.3">
      <c r="A511" s="530" t="str">
        <f t="shared" si="14"/>
        <v>Gwynedd.2021.Economic Impact.VAT</v>
      </c>
      <c r="B511" s="530" t="s">
        <v>219</v>
      </c>
      <c r="C511" s="530" t="str">
        <f t="shared" si="15"/>
        <v>2021.Economic Impact.VAT</v>
      </c>
      <c r="D511" s="530" t="s">
        <v>241</v>
      </c>
      <c r="E511" s="530" t="s">
        <v>17</v>
      </c>
      <c r="F511" s="530" t="s">
        <v>47</v>
      </c>
      <c r="G511" s="530" t="s">
        <v>47</v>
      </c>
      <c r="H511" s="530">
        <v>0</v>
      </c>
      <c r="I511" s="530">
        <v>0</v>
      </c>
      <c r="J511" s="530">
        <v>1532.2289309587004</v>
      </c>
      <c r="K511" s="530">
        <v>4186.4682897281664</v>
      </c>
      <c r="L511" s="530">
        <v>5395.9265605668379</v>
      </c>
      <c r="M511" s="530">
        <v>11607.964648017205</v>
      </c>
      <c r="N511" s="530">
        <v>13083.014176719875</v>
      </c>
      <c r="O511" s="530">
        <v>17254.069989345629</v>
      </c>
      <c r="P511" s="530">
        <v>13711.841762179629</v>
      </c>
      <c r="Q511" s="530">
        <v>15686.528494709715</v>
      </c>
      <c r="R511" s="530">
        <v>5086.9879363671553</v>
      </c>
      <c r="S511" s="530">
        <v>5647.8145751885395</v>
      </c>
      <c r="T511" s="530">
        <v>93192.845363781438</v>
      </c>
      <c r="U511" s="530" t="s">
        <v>57</v>
      </c>
    </row>
    <row r="512" spans="1:21" ht="13.8" x14ac:dyDescent="0.3">
      <c r="A512" s="530" t="str">
        <f t="shared" si="14"/>
        <v>Gwynedd.2021.Economic Impact.Serviced Accommodation</v>
      </c>
      <c r="B512" s="530" t="s">
        <v>219</v>
      </c>
      <c r="C512" s="530" t="str">
        <f t="shared" si="15"/>
        <v>2021.Economic Impact.Serviced Accommodation</v>
      </c>
      <c r="D512" s="530" t="s">
        <v>241</v>
      </c>
      <c r="E512" s="530" t="s">
        <v>17</v>
      </c>
      <c r="F512" s="530" t="s">
        <v>43</v>
      </c>
      <c r="G512" s="530" t="s">
        <v>43</v>
      </c>
      <c r="H512" s="530">
        <v>0</v>
      </c>
      <c r="I512" s="530">
        <v>0</v>
      </c>
      <c r="J512" s="530">
        <v>0</v>
      </c>
      <c r="K512" s="530">
        <v>0</v>
      </c>
      <c r="L512" s="530">
        <v>4079.0133326524347</v>
      </c>
      <c r="M512" s="530">
        <v>11846.457895048408</v>
      </c>
      <c r="N512" s="530">
        <v>22136.012607723296</v>
      </c>
      <c r="O512" s="530">
        <v>23722.8603969869</v>
      </c>
      <c r="P512" s="530">
        <v>16245.250804667628</v>
      </c>
      <c r="Q512" s="530">
        <v>11367.262004686487</v>
      </c>
      <c r="R512" s="530">
        <v>7525.0800003188288</v>
      </c>
      <c r="S512" s="530">
        <v>5117.0415059373854</v>
      </c>
      <c r="T512" s="530">
        <v>102038.97854802138</v>
      </c>
      <c r="U512" s="530" t="s">
        <v>57</v>
      </c>
    </row>
    <row r="513" spans="1:21" ht="13.8" x14ac:dyDescent="0.3">
      <c r="A513" s="530" t="str">
        <f t="shared" si="14"/>
        <v>Gwynedd.2021.Economic Impact.Non-Serviced Accommodation</v>
      </c>
      <c r="B513" s="530" t="s">
        <v>219</v>
      </c>
      <c r="C513" s="530" t="str">
        <f t="shared" si="15"/>
        <v>2021.Economic Impact.Non-Serviced Accommodation</v>
      </c>
      <c r="D513" s="530" t="s">
        <v>241</v>
      </c>
      <c r="E513" s="530" t="s">
        <v>17</v>
      </c>
      <c r="F513" s="530" t="s">
        <v>48</v>
      </c>
      <c r="G513" s="530" t="s">
        <v>48</v>
      </c>
      <c r="H513" s="530">
        <v>0</v>
      </c>
      <c r="I513" s="530">
        <v>0</v>
      </c>
      <c r="J513" s="530">
        <v>15149.522863398201</v>
      </c>
      <c r="K513" s="530">
        <v>58841.392686771862</v>
      </c>
      <c r="L513" s="530">
        <v>71863.134280027298</v>
      </c>
      <c r="M513" s="530">
        <v>104236.0848174438</v>
      </c>
      <c r="N513" s="530">
        <v>130251.55425950285</v>
      </c>
      <c r="O513" s="530">
        <v>164797.34704878408</v>
      </c>
      <c r="P513" s="530">
        <v>149733.43754963521</v>
      </c>
      <c r="Q513" s="530">
        <v>128322.87743236819</v>
      </c>
      <c r="R513" s="530">
        <v>39953.526211296055</v>
      </c>
      <c r="S513" s="530">
        <v>49548.889486118343</v>
      </c>
      <c r="T513" s="530">
        <v>912697.76663534588</v>
      </c>
      <c r="U513" s="530" t="s">
        <v>57</v>
      </c>
    </row>
    <row r="514" spans="1:21" ht="13.8" x14ac:dyDescent="0.3">
      <c r="A514" s="530" t="str">
        <f t="shared" si="14"/>
        <v>Gwynedd.2021.Economic Impact.SFR</v>
      </c>
      <c r="B514" s="530" t="s">
        <v>219</v>
      </c>
      <c r="C514" s="530" t="str">
        <f t="shared" si="15"/>
        <v>2021.Economic Impact.SFR</v>
      </c>
      <c r="D514" s="530" t="s">
        <v>241</v>
      </c>
      <c r="E514" s="530" t="s">
        <v>17</v>
      </c>
      <c r="F514" s="530" t="s">
        <v>18</v>
      </c>
      <c r="G514" s="530" t="s">
        <v>18</v>
      </c>
      <c r="H514" s="530">
        <v>0</v>
      </c>
      <c r="I514" s="530">
        <v>0</v>
      </c>
      <c r="J514" s="530">
        <v>0</v>
      </c>
      <c r="K514" s="530">
        <v>0</v>
      </c>
      <c r="L514" s="530">
        <v>136.9951393905628</v>
      </c>
      <c r="M514" s="530">
        <v>105.52984669326669</v>
      </c>
      <c r="N514" s="530">
        <v>856.21962119101704</v>
      </c>
      <c r="O514" s="530">
        <v>906.3889017829855</v>
      </c>
      <c r="P514" s="530">
        <v>466.86386741356171</v>
      </c>
      <c r="Q514" s="530">
        <v>466.40617910696142</v>
      </c>
      <c r="R514" s="530">
        <v>363.42631012189634</v>
      </c>
      <c r="S514" s="530">
        <v>1052.3717525911413</v>
      </c>
      <c r="T514" s="530">
        <v>4354.2016182913931</v>
      </c>
      <c r="U514" s="530" t="s">
        <v>57</v>
      </c>
    </row>
    <row r="515" spans="1:21" ht="13.8" x14ac:dyDescent="0.3">
      <c r="A515" s="530" t="str">
        <f t="shared" si="14"/>
        <v>Gwynedd.2021.Economic Impact.Day Visitor</v>
      </c>
      <c r="B515" s="530" t="s">
        <v>219</v>
      </c>
      <c r="C515" s="530" t="str">
        <f t="shared" si="15"/>
        <v>2021.Economic Impact.Day Visitor</v>
      </c>
      <c r="D515" s="530" t="s">
        <v>241</v>
      </c>
      <c r="E515" s="530" t="s">
        <v>17</v>
      </c>
      <c r="F515" s="530" t="s">
        <v>71</v>
      </c>
      <c r="G515" s="530" t="s">
        <v>71</v>
      </c>
      <c r="H515" s="530">
        <v>0</v>
      </c>
      <c r="I515" s="530">
        <v>0</v>
      </c>
      <c r="J515" s="530">
        <v>3140.800705733122</v>
      </c>
      <c r="K515" s="530">
        <v>0</v>
      </c>
      <c r="L515" s="530">
        <v>0</v>
      </c>
      <c r="M515" s="530">
        <v>30294.869518399981</v>
      </c>
      <c r="N515" s="530">
        <v>24324.321050317838</v>
      </c>
      <c r="O515" s="530">
        <v>32972.186604809285</v>
      </c>
      <c r="P515" s="530">
        <v>17379.385249850533</v>
      </c>
      <c r="Q515" s="530">
        <v>12854.547891507507</v>
      </c>
      <c r="R515" s="530">
        <v>4045.3234091414629</v>
      </c>
      <c r="S515" s="530">
        <v>2568.6307351342907</v>
      </c>
      <c r="T515" s="530">
        <v>127580.065164894</v>
      </c>
      <c r="U515" s="530" t="s">
        <v>57</v>
      </c>
    </row>
    <row r="516" spans="1:21" ht="13.8" x14ac:dyDescent="0.3">
      <c r="A516" s="530" t="str">
        <f t="shared" si="14"/>
        <v>Gwynedd.2021.Economic Impact.Accommodation</v>
      </c>
      <c r="B516" s="530" t="s">
        <v>219</v>
      </c>
      <c r="C516" s="530" t="str">
        <f t="shared" si="15"/>
        <v>2021.Economic Impact.Accommodation</v>
      </c>
      <c r="D516" s="530" t="s">
        <v>241</v>
      </c>
      <c r="E516" s="530" t="s">
        <v>17</v>
      </c>
      <c r="F516" s="530" t="s">
        <v>23</v>
      </c>
      <c r="G516" s="530" t="s">
        <v>23</v>
      </c>
      <c r="H516" s="530">
        <v>0</v>
      </c>
      <c r="I516" s="530">
        <v>0</v>
      </c>
      <c r="J516" s="530">
        <v>2417.9913071643045</v>
      </c>
      <c r="K516" s="530">
        <v>14101.342071401896</v>
      </c>
      <c r="L516" s="530">
        <v>18951.823469279298</v>
      </c>
      <c r="M516" s="530">
        <v>27561.553415613958</v>
      </c>
      <c r="N516" s="530">
        <v>44426.65357417208</v>
      </c>
      <c r="O516" s="530">
        <v>46613.950719586057</v>
      </c>
      <c r="P516" s="530">
        <v>43030.656573934</v>
      </c>
      <c r="Q516" s="530">
        <v>24138.000233271105</v>
      </c>
      <c r="R516" s="530">
        <v>12560.165537455317</v>
      </c>
      <c r="S516" s="530">
        <v>14049.866419877804</v>
      </c>
      <c r="T516" s="530">
        <v>247852.00332175582</v>
      </c>
      <c r="U516" s="530" t="s">
        <v>57</v>
      </c>
    </row>
    <row r="517" spans="1:21" ht="13.8" x14ac:dyDescent="0.3">
      <c r="A517" s="530" t="str">
        <f t="shared" si="14"/>
        <v>Gwynedd.2021.Economic Impact.Food &amp; Drink</v>
      </c>
      <c r="B517" s="530" t="s">
        <v>219</v>
      </c>
      <c r="C517" s="530" t="str">
        <f t="shared" si="15"/>
        <v>2021.Economic Impact.Food &amp; Drink</v>
      </c>
      <c r="D517" s="530" t="s">
        <v>241</v>
      </c>
      <c r="E517" s="530" t="s">
        <v>17</v>
      </c>
      <c r="F517" s="530" t="s">
        <v>49</v>
      </c>
      <c r="G517" s="530" t="s">
        <v>49</v>
      </c>
      <c r="H517" s="530">
        <v>0</v>
      </c>
      <c r="I517" s="530">
        <v>0</v>
      </c>
      <c r="J517" s="530">
        <v>2960.2122081064422</v>
      </c>
      <c r="K517" s="530">
        <v>7704.4709202653539</v>
      </c>
      <c r="L517" s="530">
        <v>9871.7541990798236</v>
      </c>
      <c r="M517" s="530">
        <v>20598.164419068729</v>
      </c>
      <c r="N517" s="530">
        <v>23501.584969323372</v>
      </c>
      <c r="O517" s="530">
        <v>33652.775406656765</v>
      </c>
      <c r="P517" s="530">
        <v>26697.223898702356</v>
      </c>
      <c r="Q517" s="530">
        <v>24067.785289312702</v>
      </c>
      <c r="R517" s="530">
        <v>6661.467237900777</v>
      </c>
      <c r="S517" s="530">
        <v>7272.8595565264277</v>
      </c>
      <c r="T517" s="530">
        <v>162988.29810494278</v>
      </c>
      <c r="U517" s="530" t="s">
        <v>57</v>
      </c>
    </row>
    <row r="518" spans="1:21" ht="13.8" x14ac:dyDescent="0.3">
      <c r="A518" s="530" t="str">
        <f t="shared" si="14"/>
        <v>Gwynedd.2021.Economic Impact.Recreation</v>
      </c>
      <c r="B518" s="530" t="s">
        <v>219</v>
      </c>
      <c r="C518" s="530" t="str">
        <f t="shared" si="15"/>
        <v>2021.Economic Impact.Recreation</v>
      </c>
      <c r="D518" s="530" t="s">
        <v>241</v>
      </c>
      <c r="E518" s="530" t="s">
        <v>17</v>
      </c>
      <c r="F518" s="530" t="s">
        <v>50</v>
      </c>
      <c r="G518" s="530" t="s">
        <v>50</v>
      </c>
      <c r="H518" s="530">
        <v>0</v>
      </c>
      <c r="I518" s="530">
        <v>0</v>
      </c>
      <c r="J518" s="530">
        <v>1366.1272350717613</v>
      </c>
      <c r="K518" s="530">
        <v>3946.092407557845</v>
      </c>
      <c r="L518" s="530">
        <v>4885.5664794540126</v>
      </c>
      <c r="M518" s="530">
        <v>9621.9298948764008</v>
      </c>
      <c r="N518" s="530">
        <v>9489.3930641044408</v>
      </c>
      <c r="O518" s="530">
        <v>11761.610422277716</v>
      </c>
      <c r="P518" s="530">
        <v>9852.176495601052</v>
      </c>
      <c r="Q518" s="530">
        <v>9399.5969889655116</v>
      </c>
      <c r="R518" s="530">
        <v>2996.1280260859244</v>
      </c>
      <c r="S518" s="530">
        <v>3085.0668541004816</v>
      </c>
      <c r="T518" s="530">
        <v>66403.687868095149</v>
      </c>
      <c r="U518" s="530" t="s">
        <v>57</v>
      </c>
    </row>
    <row r="519" spans="1:21" ht="13.8" x14ac:dyDescent="0.3">
      <c r="A519" s="530" t="str">
        <f t="shared" si="14"/>
        <v>Gwynedd.2021.Economic Impact.Shopping</v>
      </c>
      <c r="B519" s="530" t="s">
        <v>219</v>
      </c>
      <c r="C519" s="530" t="str">
        <f t="shared" si="15"/>
        <v>2021.Economic Impact.Shopping</v>
      </c>
      <c r="D519" s="530" t="s">
        <v>241</v>
      </c>
      <c r="E519" s="530" t="s">
        <v>17</v>
      </c>
      <c r="F519" s="530" t="s">
        <v>51</v>
      </c>
      <c r="G519" s="530" t="s">
        <v>51</v>
      </c>
      <c r="H519" s="530">
        <v>0</v>
      </c>
      <c r="I519" s="530">
        <v>0</v>
      </c>
      <c r="J519" s="530">
        <v>3747.6574398395724</v>
      </c>
      <c r="K519" s="530">
        <v>8630.4221725796469</v>
      </c>
      <c r="L519" s="530">
        <v>11140.546195042678</v>
      </c>
      <c r="M519" s="530">
        <v>27911.882194875314</v>
      </c>
      <c r="N519" s="530">
        <v>29263.839577573115</v>
      </c>
      <c r="O519" s="530">
        <v>40374.917478774987</v>
      </c>
      <c r="P519" s="530">
        <v>30398.353522546422</v>
      </c>
      <c r="Q519" s="530">
        <v>28249.031755495507</v>
      </c>
      <c r="R519" s="530">
        <v>7534.6685722920029</v>
      </c>
      <c r="S519" s="530">
        <v>8706.1906352744245</v>
      </c>
      <c r="T519" s="530">
        <v>195957.50954429366</v>
      </c>
      <c r="U519" s="530" t="s">
        <v>57</v>
      </c>
    </row>
    <row r="520" spans="1:21" ht="13.8" x14ac:dyDescent="0.3">
      <c r="A520" s="530" t="str">
        <f t="shared" si="14"/>
        <v>Gwynedd.2021.Economic Impact.Transport</v>
      </c>
      <c r="B520" s="530" t="s">
        <v>219</v>
      </c>
      <c r="C520" s="530" t="str">
        <f t="shared" si="15"/>
        <v>2021.Economic Impact.Transport</v>
      </c>
      <c r="D520" s="530" t="s">
        <v>241</v>
      </c>
      <c r="E520" s="530" t="s">
        <v>17</v>
      </c>
      <c r="F520" s="530" t="s">
        <v>52</v>
      </c>
      <c r="G520" s="530" t="s">
        <v>52</v>
      </c>
      <c r="H520" s="530">
        <v>0</v>
      </c>
      <c r="I520" s="530">
        <v>0</v>
      </c>
      <c r="J520" s="530">
        <v>1416.2158817723887</v>
      </c>
      <c r="K520" s="530">
        <v>3679.462302288061</v>
      </c>
      <c r="L520" s="530">
        <v>4644.8029436131355</v>
      </c>
      <c r="M520" s="530">
        <v>10016.261428956226</v>
      </c>
      <c r="N520" s="530">
        <v>10611.015022858563</v>
      </c>
      <c r="O520" s="530">
        <v>14373.150987897807</v>
      </c>
      <c r="P520" s="530">
        <v>11412.828472360479</v>
      </c>
      <c r="Q520" s="530">
        <v>11042.679559746164</v>
      </c>
      <c r="R520" s="530">
        <v>3108.77105264376</v>
      </c>
      <c r="S520" s="530">
        <v>3306.9561206065523</v>
      </c>
      <c r="T520" s="530">
        <v>73612.143772743148</v>
      </c>
      <c r="U520" s="530" t="s">
        <v>57</v>
      </c>
    </row>
    <row r="521" spans="1:21" ht="13.8" x14ac:dyDescent="0.3">
      <c r="A521" s="530" t="str">
        <f t="shared" ref="A521:A584" si="16">B521&amp;"."&amp;D521&amp;"."&amp;E521&amp;"."&amp;F521</f>
        <v>Gwynedd.2021.Economic Impact.Direct Expenditure</v>
      </c>
      <c r="B521" s="530" t="s">
        <v>219</v>
      </c>
      <c r="C521" s="530" t="str">
        <f t="shared" ref="C521:C584" si="17">D521&amp;"."&amp;E521&amp;"."&amp;F521</f>
        <v>2021.Economic Impact.Direct Expenditure</v>
      </c>
      <c r="D521" s="530" t="s">
        <v>241</v>
      </c>
      <c r="E521" s="530" t="s">
        <v>17</v>
      </c>
      <c r="F521" s="530" t="s">
        <v>44</v>
      </c>
      <c r="G521" s="530" t="s">
        <v>44</v>
      </c>
      <c r="H521" s="530">
        <v>0</v>
      </c>
      <c r="I521" s="530">
        <v>0</v>
      </c>
      <c r="J521" s="530">
        <v>13440.433002913167</v>
      </c>
      <c r="K521" s="530">
        <v>42248.258163820974</v>
      </c>
      <c r="L521" s="530">
        <v>54890.419847035788</v>
      </c>
      <c r="M521" s="530">
        <v>107317.75600140783</v>
      </c>
      <c r="N521" s="530">
        <v>130375.50038475145</v>
      </c>
      <c r="O521" s="530">
        <v>164030.47500453895</v>
      </c>
      <c r="P521" s="530">
        <v>135103.08072532393</v>
      </c>
      <c r="Q521" s="530">
        <v>112583.6223215007</v>
      </c>
      <c r="R521" s="530">
        <v>37948.188362744935</v>
      </c>
      <c r="S521" s="530">
        <v>42068.754161574216</v>
      </c>
      <c r="T521" s="530">
        <v>840006.48797561193</v>
      </c>
      <c r="U521" s="530" t="s">
        <v>57</v>
      </c>
    </row>
    <row r="522" spans="1:21" ht="13.8" x14ac:dyDescent="0.3">
      <c r="A522" s="530" t="str">
        <f t="shared" si="16"/>
        <v>Gwynedd.2021.Population.Total</v>
      </c>
      <c r="B522" s="530" t="s">
        <v>219</v>
      </c>
      <c r="C522" s="530" t="str">
        <f t="shared" si="17"/>
        <v>2021.Population.Total</v>
      </c>
      <c r="D522" s="530" t="s">
        <v>241</v>
      </c>
      <c r="E522" s="530" t="s">
        <v>19</v>
      </c>
      <c r="F522" s="530" t="s">
        <v>54</v>
      </c>
      <c r="G522" s="530" t="s">
        <v>54</v>
      </c>
      <c r="H522" s="530">
        <v>125171</v>
      </c>
      <c r="I522" s="530">
        <v>125171</v>
      </c>
      <c r="J522" s="530">
        <v>125171</v>
      </c>
      <c r="K522" s="530">
        <v>125171</v>
      </c>
      <c r="L522" s="530">
        <v>125171</v>
      </c>
      <c r="M522" s="530">
        <v>125171</v>
      </c>
      <c r="N522" s="530">
        <v>125171</v>
      </c>
      <c r="O522" s="530">
        <v>125171</v>
      </c>
      <c r="P522" s="530">
        <v>125171</v>
      </c>
      <c r="Q522" s="530">
        <v>125171</v>
      </c>
      <c r="R522" s="530">
        <v>125171</v>
      </c>
      <c r="S522" s="530">
        <v>125171</v>
      </c>
      <c r="T522" s="530">
        <v>125171</v>
      </c>
      <c r="U522" s="530" t="s">
        <v>60</v>
      </c>
    </row>
    <row r="523" spans="1:21" ht="13.8" x14ac:dyDescent="0.3">
      <c r="A523" s="530" t="str">
        <f t="shared" si="16"/>
        <v>Gwynedd.2021.Employment.Serviced Accommodation</v>
      </c>
      <c r="B523" s="530" t="s">
        <v>219</v>
      </c>
      <c r="C523" s="530" t="str">
        <f t="shared" si="17"/>
        <v>2021.Employment.Serviced Accommodation</v>
      </c>
      <c r="D523" s="530" t="s">
        <v>241</v>
      </c>
      <c r="E523" s="530" t="s">
        <v>20</v>
      </c>
      <c r="F523" s="530" t="s">
        <v>43</v>
      </c>
      <c r="G523" s="530" t="s">
        <v>43</v>
      </c>
      <c r="H523" s="530">
        <v>0</v>
      </c>
      <c r="I523" s="530">
        <v>0</v>
      </c>
      <c r="J523" s="530">
        <v>0</v>
      </c>
      <c r="K523" s="530">
        <v>0</v>
      </c>
      <c r="L523" s="530">
        <v>937.73063569269152</v>
      </c>
      <c r="M523" s="530">
        <v>2127.3792676683038</v>
      </c>
      <c r="N523" s="530">
        <v>2671.8842148007216</v>
      </c>
      <c r="O523" s="530">
        <v>2888.6708898846191</v>
      </c>
      <c r="P523" s="530">
        <v>2109.6124244397747</v>
      </c>
      <c r="Q523" s="530">
        <v>2076.5286437364575</v>
      </c>
      <c r="R523" s="530">
        <v>1824.9492840255452</v>
      </c>
      <c r="S523" s="530">
        <v>1701.9380829452987</v>
      </c>
      <c r="T523" s="530">
        <v>1361.5577869327842</v>
      </c>
      <c r="U523" s="530" t="s">
        <v>59</v>
      </c>
    </row>
    <row r="524" spans="1:21" ht="13.8" x14ac:dyDescent="0.3">
      <c r="A524" s="530" t="str">
        <f t="shared" si="16"/>
        <v>Gwynedd.2021.Employment.Non-Serviced Accommodation</v>
      </c>
      <c r="B524" s="530" t="s">
        <v>219</v>
      </c>
      <c r="C524" s="530" t="str">
        <f t="shared" si="17"/>
        <v>2021.Employment.Non-Serviced Accommodation</v>
      </c>
      <c r="D524" s="530" t="s">
        <v>241</v>
      </c>
      <c r="E524" s="530" t="s">
        <v>20</v>
      </c>
      <c r="F524" s="530" t="s">
        <v>48</v>
      </c>
      <c r="G524" s="530" t="s">
        <v>48</v>
      </c>
      <c r="H524" s="530">
        <v>0</v>
      </c>
      <c r="I524" s="530">
        <v>0</v>
      </c>
      <c r="J524" s="530">
        <v>1954.2860163609389</v>
      </c>
      <c r="K524" s="530">
        <v>8345.6074459239535</v>
      </c>
      <c r="L524" s="530">
        <v>9232.3981891635849</v>
      </c>
      <c r="M524" s="530">
        <v>12715.033423912266</v>
      </c>
      <c r="N524" s="530">
        <v>14745.019786428495</v>
      </c>
      <c r="O524" s="530">
        <v>19165.61434800108</v>
      </c>
      <c r="P524" s="530">
        <v>16380.622628238221</v>
      </c>
      <c r="Q524" s="530">
        <v>14431.973680032697</v>
      </c>
      <c r="R524" s="530">
        <v>6348.847311268918</v>
      </c>
      <c r="S524" s="530">
        <v>6905.6778487212141</v>
      </c>
      <c r="T524" s="530">
        <v>9185.4233898376133</v>
      </c>
      <c r="U524" s="530" t="s">
        <v>59</v>
      </c>
    </row>
    <row r="525" spans="1:21" ht="13.8" x14ac:dyDescent="0.3">
      <c r="A525" s="530" t="str">
        <f t="shared" si="16"/>
        <v>Gwynedd.2021.Employment.SFR</v>
      </c>
      <c r="B525" s="530" t="s">
        <v>219</v>
      </c>
      <c r="C525" s="530" t="str">
        <f t="shared" si="17"/>
        <v>2021.Employment.SFR</v>
      </c>
      <c r="D525" s="530" t="s">
        <v>241</v>
      </c>
      <c r="E525" s="530" t="s">
        <v>20</v>
      </c>
      <c r="F525" s="530" t="s">
        <v>18</v>
      </c>
      <c r="G525" s="530" t="s">
        <v>18</v>
      </c>
      <c r="H525" s="530">
        <v>0</v>
      </c>
      <c r="I525" s="530">
        <v>0</v>
      </c>
      <c r="J525" s="530">
        <v>0</v>
      </c>
      <c r="K525" s="530">
        <v>0</v>
      </c>
      <c r="L525" s="530">
        <v>15.431538048580606</v>
      </c>
      <c r="M525" s="530">
        <v>11.887194332240705</v>
      </c>
      <c r="N525" s="530">
        <v>96.447112803628755</v>
      </c>
      <c r="O525" s="530">
        <v>102.09832908596503</v>
      </c>
      <c r="P525" s="530">
        <v>52.588928085693546</v>
      </c>
      <c r="Q525" s="530">
        <v>50.986946727498356</v>
      </c>
      <c r="R525" s="530">
        <v>39.72931479817921</v>
      </c>
      <c r="S525" s="530">
        <v>115.0439785974262</v>
      </c>
      <c r="T525" s="530">
        <v>40.351111873267705</v>
      </c>
      <c r="U525" s="530" t="s">
        <v>59</v>
      </c>
    </row>
    <row r="526" spans="1:21" ht="13.8" x14ac:dyDescent="0.3">
      <c r="A526" s="530" t="str">
        <f t="shared" si="16"/>
        <v>Gwynedd.2021.Employment.Day Visitor</v>
      </c>
      <c r="B526" s="530" t="s">
        <v>219</v>
      </c>
      <c r="C526" s="530" t="str">
        <f t="shared" si="17"/>
        <v>2021.Employment.Day Visitor</v>
      </c>
      <c r="D526" s="530" t="s">
        <v>241</v>
      </c>
      <c r="E526" s="530" t="s">
        <v>20</v>
      </c>
      <c r="F526" s="530" t="s">
        <v>71</v>
      </c>
      <c r="G526" s="530" t="s">
        <v>71</v>
      </c>
      <c r="H526" s="530">
        <v>0</v>
      </c>
      <c r="I526" s="530">
        <v>0</v>
      </c>
      <c r="J526" s="530">
        <v>316.98748500441519</v>
      </c>
      <c r="K526" s="530">
        <v>0</v>
      </c>
      <c r="L526" s="530">
        <v>0</v>
      </c>
      <c r="M526" s="530">
        <v>3057.5306735143472</v>
      </c>
      <c r="N526" s="530">
        <v>2454.9489370992828</v>
      </c>
      <c r="O526" s="530">
        <v>3327.7407534570466</v>
      </c>
      <c r="P526" s="530">
        <v>1754.0264847804265</v>
      </c>
      <c r="Q526" s="530">
        <v>1270.617847036468</v>
      </c>
      <c r="R526" s="530">
        <v>399.86315847680532</v>
      </c>
      <c r="S526" s="530">
        <v>253.89831537087838</v>
      </c>
      <c r="T526" s="530">
        <v>1069.6344712283058</v>
      </c>
      <c r="U526" s="530" t="s">
        <v>59</v>
      </c>
    </row>
    <row r="527" spans="1:21" ht="13.8" x14ac:dyDescent="0.3">
      <c r="A527" s="530" t="str">
        <f t="shared" si="16"/>
        <v>Gwynedd.2021.Employment.Direct Employment</v>
      </c>
      <c r="B527" s="530" t="s">
        <v>219</v>
      </c>
      <c r="C527" s="530" t="str">
        <f t="shared" si="17"/>
        <v>2021.Employment.Direct Employment</v>
      </c>
      <c r="D527" s="530" t="s">
        <v>241</v>
      </c>
      <c r="E527" s="530" t="s">
        <v>20</v>
      </c>
      <c r="F527" s="530" t="s">
        <v>55</v>
      </c>
      <c r="G527" s="530" t="s">
        <v>55</v>
      </c>
      <c r="H527" s="530">
        <v>0</v>
      </c>
      <c r="I527" s="530">
        <v>0</v>
      </c>
      <c r="J527" s="530">
        <v>2271.2735013653542</v>
      </c>
      <c r="K527" s="530">
        <v>8345.6074459239535</v>
      </c>
      <c r="L527" s="530">
        <v>10185.560362904856</v>
      </c>
      <c r="M527" s="530">
        <v>17911.830559427159</v>
      </c>
      <c r="N527" s="530">
        <v>19968.300051132126</v>
      </c>
      <c r="O527" s="530">
        <v>25484.124320428709</v>
      </c>
      <c r="P527" s="530">
        <v>20296.850465544114</v>
      </c>
      <c r="Q527" s="530">
        <v>17830.107117533124</v>
      </c>
      <c r="R527" s="530">
        <v>8613.3890685694478</v>
      </c>
      <c r="S527" s="530">
        <v>8976.5582256348171</v>
      </c>
      <c r="T527" s="530">
        <v>11656.966759871973</v>
      </c>
      <c r="U527" s="530" t="s">
        <v>59</v>
      </c>
    </row>
    <row r="528" spans="1:21" ht="13.8" x14ac:dyDescent="0.3">
      <c r="A528" s="530" t="str">
        <f t="shared" si="16"/>
        <v>Gwynedd.2021.Employment.Indirect Employment</v>
      </c>
      <c r="B528" s="530" t="s">
        <v>219</v>
      </c>
      <c r="C528" s="530" t="str">
        <f t="shared" si="17"/>
        <v>2021.Employment.Indirect Employment</v>
      </c>
      <c r="D528" s="530" t="s">
        <v>241</v>
      </c>
      <c r="E528" s="530" t="s">
        <v>20</v>
      </c>
      <c r="F528" s="530" t="s">
        <v>53</v>
      </c>
      <c r="G528" s="530" t="s">
        <v>53</v>
      </c>
      <c r="H528" s="530">
        <v>0</v>
      </c>
      <c r="I528" s="530">
        <v>0</v>
      </c>
      <c r="J528" s="530">
        <v>566.38855565608583</v>
      </c>
      <c r="K528" s="530">
        <v>1971.0360997994451</v>
      </c>
      <c r="L528" s="530">
        <v>2517.7095325463843</v>
      </c>
      <c r="M528" s="530">
        <v>4603.1354614793654</v>
      </c>
      <c r="N528" s="530">
        <v>5593.3235090147118</v>
      </c>
      <c r="O528" s="530">
        <v>6881.0520112308805</v>
      </c>
      <c r="P528" s="530">
        <v>5769.11614059561</v>
      </c>
      <c r="Q528" s="530">
        <v>4582.7769548741899</v>
      </c>
      <c r="R528" s="530">
        <v>1589.6832663856103</v>
      </c>
      <c r="S528" s="530">
        <v>1848.9934707252742</v>
      </c>
      <c r="T528" s="530">
        <v>2993.601250192296</v>
      </c>
      <c r="U528" s="530" t="s">
        <v>59</v>
      </c>
    </row>
    <row r="529" spans="1:21" ht="13.8" x14ac:dyDescent="0.3">
      <c r="A529" s="530" t="str">
        <f t="shared" si="16"/>
        <v>Gwynedd.2021.Employment.Total</v>
      </c>
      <c r="B529" s="530" t="s">
        <v>219</v>
      </c>
      <c r="C529" s="530" t="str">
        <f t="shared" si="17"/>
        <v>2021.Employment.Total</v>
      </c>
      <c r="D529" s="530" t="s">
        <v>241</v>
      </c>
      <c r="E529" s="530" t="s">
        <v>20</v>
      </c>
      <c r="F529" s="530" t="s">
        <v>54</v>
      </c>
      <c r="G529" s="530" t="s">
        <v>54</v>
      </c>
      <c r="H529" s="530">
        <v>0</v>
      </c>
      <c r="I529" s="530">
        <v>0</v>
      </c>
      <c r="J529" s="530">
        <v>2837.66205702144</v>
      </c>
      <c r="K529" s="530">
        <v>10316.643545723398</v>
      </c>
      <c r="L529" s="530">
        <v>12703.269895451242</v>
      </c>
      <c r="M529" s="530">
        <v>22514.966020906526</v>
      </c>
      <c r="N529" s="530">
        <v>25561.623560146836</v>
      </c>
      <c r="O529" s="530">
        <v>32365.17633165959</v>
      </c>
      <c r="P529" s="530">
        <v>26065.966606139722</v>
      </c>
      <c r="Q529" s="530">
        <v>22412.884072407312</v>
      </c>
      <c r="R529" s="530">
        <v>10203.072334955057</v>
      </c>
      <c r="S529" s="530">
        <v>10825.551696360091</v>
      </c>
      <c r="T529" s="530">
        <v>14650.568010064269</v>
      </c>
      <c r="U529" s="530" t="s">
        <v>59</v>
      </c>
    </row>
    <row r="530" spans="1:21" ht="13.8" x14ac:dyDescent="0.3">
      <c r="A530" s="530" t="str">
        <f t="shared" si="16"/>
        <v>Gwynedd.2021.Employment.Accommodation</v>
      </c>
      <c r="B530" s="530" t="s">
        <v>219</v>
      </c>
      <c r="C530" s="530" t="str">
        <f t="shared" si="17"/>
        <v>2021.Employment.Accommodation</v>
      </c>
      <c r="D530" s="530" t="s">
        <v>241</v>
      </c>
      <c r="E530" s="530" t="s">
        <v>20</v>
      </c>
      <c r="F530" s="530" t="s">
        <v>23</v>
      </c>
      <c r="G530" s="530" t="s">
        <v>23</v>
      </c>
      <c r="H530" s="530">
        <v>0</v>
      </c>
      <c r="I530" s="530">
        <v>0</v>
      </c>
      <c r="J530" s="530">
        <v>717.12000000000012</v>
      </c>
      <c r="K530" s="530">
        <v>4394.5</v>
      </c>
      <c r="L530" s="530">
        <v>5147.9799999999996</v>
      </c>
      <c r="M530" s="530">
        <v>6791.2839999999997</v>
      </c>
      <c r="N530" s="530">
        <v>8004.0684214555458</v>
      </c>
      <c r="O530" s="530">
        <v>8983.3400597821637</v>
      </c>
      <c r="P530" s="530">
        <v>7349.9800000000014</v>
      </c>
      <c r="Q530" s="530">
        <v>5880.3</v>
      </c>
      <c r="R530" s="530">
        <v>5269.9979067375425</v>
      </c>
      <c r="S530" s="530">
        <v>5296.4</v>
      </c>
      <c r="T530" s="530">
        <v>4819.580865664605</v>
      </c>
      <c r="U530" s="530" t="s">
        <v>59</v>
      </c>
    </row>
    <row r="531" spans="1:21" ht="13.8" x14ac:dyDescent="0.3">
      <c r="A531" s="530" t="str">
        <f t="shared" si="16"/>
        <v>Gwynedd.2021.Employment.Food &amp; Drink</v>
      </c>
      <c r="B531" s="530" t="s">
        <v>219</v>
      </c>
      <c r="C531" s="530" t="str">
        <f t="shared" si="17"/>
        <v>2021.Employment.Food &amp; Drink</v>
      </c>
      <c r="D531" s="530" t="s">
        <v>241</v>
      </c>
      <c r="E531" s="530" t="s">
        <v>20</v>
      </c>
      <c r="F531" s="530" t="s">
        <v>49</v>
      </c>
      <c r="G531" s="530" t="s">
        <v>49</v>
      </c>
      <c r="H531" s="530">
        <v>0</v>
      </c>
      <c r="I531" s="530">
        <v>0</v>
      </c>
      <c r="J531" s="530">
        <v>636.55333728335165</v>
      </c>
      <c r="K531" s="530">
        <v>1656.7415886155616</v>
      </c>
      <c r="L531" s="530">
        <v>2122.7863539840005</v>
      </c>
      <c r="M531" s="530">
        <v>4429.3548506296547</v>
      </c>
      <c r="N531" s="530">
        <v>5053.6959150102666</v>
      </c>
      <c r="O531" s="530">
        <v>7236.5712279989984</v>
      </c>
      <c r="P531" s="530">
        <v>5740.8745637835582</v>
      </c>
      <c r="Q531" s="530">
        <v>5175.4495860049065</v>
      </c>
      <c r="R531" s="530">
        <v>1432.457845379231</v>
      </c>
      <c r="S531" s="530">
        <v>1563.9294404712307</v>
      </c>
      <c r="T531" s="530">
        <v>2920.7012257633965</v>
      </c>
      <c r="U531" s="530" t="s">
        <v>59</v>
      </c>
    </row>
    <row r="532" spans="1:21" ht="13.8" x14ac:dyDescent="0.3">
      <c r="A532" s="530" t="str">
        <f t="shared" si="16"/>
        <v>Gwynedd.2021.Employment.Recreation</v>
      </c>
      <c r="B532" s="530" t="s">
        <v>219</v>
      </c>
      <c r="C532" s="530" t="str">
        <f t="shared" si="17"/>
        <v>2021.Employment.Recreation</v>
      </c>
      <c r="D532" s="530" t="s">
        <v>241</v>
      </c>
      <c r="E532" s="530" t="s">
        <v>20</v>
      </c>
      <c r="F532" s="530" t="s">
        <v>50</v>
      </c>
      <c r="G532" s="530" t="s">
        <v>50</v>
      </c>
      <c r="H532" s="530">
        <v>0</v>
      </c>
      <c r="I532" s="530">
        <v>0</v>
      </c>
      <c r="J532" s="530">
        <v>257.34084830056764</v>
      </c>
      <c r="K532" s="530">
        <v>743.33542408297149</v>
      </c>
      <c r="L532" s="530">
        <v>920.30653512699416</v>
      </c>
      <c r="M532" s="530">
        <v>1812.5073110822043</v>
      </c>
      <c r="N532" s="530">
        <v>1787.5410124927955</v>
      </c>
      <c r="O532" s="530">
        <v>2215.5643528260039</v>
      </c>
      <c r="P532" s="530">
        <v>1855.8794465814949</v>
      </c>
      <c r="Q532" s="530">
        <v>1770.6258983240191</v>
      </c>
      <c r="R532" s="530">
        <v>564.38822684737397</v>
      </c>
      <c r="S532" s="530">
        <v>581.14185920353009</v>
      </c>
      <c r="T532" s="530">
        <v>1042.3859095723294</v>
      </c>
      <c r="U532" s="530" t="s">
        <v>59</v>
      </c>
    </row>
    <row r="533" spans="1:21" ht="13.8" x14ac:dyDescent="0.3">
      <c r="A533" s="530" t="str">
        <f t="shared" si="16"/>
        <v>Gwynedd.2021.Employment.Shopping</v>
      </c>
      <c r="B533" s="530" t="s">
        <v>219</v>
      </c>
      <c r="C533" s="530" t="str">
        <f t="shared" si="17"/>
        <v>2021.Employment.Shopping</v>
      </c>
      <c r="D533" s="530" t="s">
        <v>241</v>
      </c>
      <c r="E533" s="530" t="s">
        <v>20</v>
      </c>
      <c r="F533" s="530" t="s">
        <v>51</v>
      </c>
      <c r="G533" s="530" t="s">
        <v>51</v>
      </c>
      <c r="H533" s="530">
        <v>0</v>
      </c>
      <c r="I533" s="530">
        <v>0</v>
      </c>
      <c r="J533" s="530">
        <v>556.84301572213531</v>
      </c>
      <c r="K533" s="530">
        <v>1282.3451413798794</v>
      </c>
      <c r="L533" s="530">
        <v>1655.3101342968214</v>
      </c>
      <c r="M533" s="530">
        <v>4147.267167657853</v>
      </c>
      <c r="N533" s="530">
        <v>4348.1467939828981</v>
      </c>
      <c r="O533" s="530">
        <v>5999.0784027944219</v>
      </c>
      <c r="P533" s="530">
        <v>4516.7177417386765</v>
      </c>
      <c r="Q533" s="530">
        <v>4197.3622953740023</v>
      </c>
      <c r="R533" s="530">
        <v>1119.5333718765605</v>
      </c>
      <c r="S533" s="530">
        <v>1293.603144530081</v>
      </c>
      <c r="T533" s="530">
        <v>2426.350600779444</v>
      </c>
      <c r="U533" s="530" t="s">
        <v>59</v>
      </c>
    </row>
    <row r="534" spans="1:21" ht="13.8" x14ac:dyDescent="0.3">
      <c r="A534" s="530" t="str">
        <f t="shared" si="16"/>
        <v>Gwynedd.2021.Employment.Transport</v>
      </c>
      <c r="B534" s="530" t="s">
        <v>219</v>
      </c>
      <c r="C534" s="530" t="str">
        <f t="shared" si="17"/>
        <v>2021.Employment.Transport</v>
      </c>
      <c r="D534" s="530" t="s">
        <v>241</v>
      </c>
      <c r="E534" s="530" t="s">
        <v>20</v>
      </c>
      <c r="F534" s="530" t="s">
        <v>52</v>
      </c>
      <c r="G534" s="530" t="s">
        <v>52</v>
      </c>
      <c r="H534" s="530">
        <v>0</v>
      </c>
      <c r="I534" s="530">
        <v>0</v>
      </c>
      <c r="J534" s="530">
        <v>103.41630005929956</v>
      </c>
      <c r="K534" s="530">
        <v>268.68529184554018</v>
      </c>
      <c r="L534" s="530">
        <v>339.17733949704035</v>
      </c>
      <c r="M534" s="530">
        <v>731.41723005744711</v>
      </c>
      <c r="N534" s="530">
        <v>774.84790819062471</v>
      </c>
      <c r="O534" s="530">
        <v>1049.570277027123</v>
      </c>
      <c r="P534" s="530">
        <v>833.39871344038465</v>
      </c>
      <c r="Q534" s="530">
        <v>806.36933783019242</v>
      </c>
      <c r="R534" s="530">
        <v>227.01171772873963</v>
      </c>
      <c r="S534" s="530">
        <v>241.48378142997612</v>
      </c>
      <c r="T534" s="530">
        <v>447.94815809219722</v>
      </c>
      <c r="U534" s="530" t="s">
        <v>59</v>
      </c>
    </row>
    <row r="535" spans="1:21" ht="13.8" x14ac:dyDescent="0.3">
      <c r="A535" s="530" t="str">
        <f t="shared" si="16"/>
        <v>Gwynedd.2021.Visitor Days.Serviced Accommodation</v>
      </c>
      <c r="B535" s="530" t="s">
        <v>219</v>
      </c>
      <c r="C535" s="530" t="str">
        <f t="shared" si="17"/>
        <v>2021.Visitor Days.Serviced Accommodation</v>
      </c>
      <c r="D535" s="530" t="s">
        <v>241</v>
      </c>
      <c r="E535" s="530" t="s">
        <v>171</v>
      </c>
      <c r="F535" s="530" t="s">
        <v>43</v>
      </c>
      <c r="G535" s="530" t="s">
        <v>43</v>
      </c>
      <c r="H535" s="530">
        <v>0</v>
      </c>
      <c r="I535" s="530">
        <v>0</v>
      </c>
      <c r="J535" s="530">
        <v>0</v>
      </c>
      <c r="K535" s="530">
        <v>0</v>
      </c>
      <c r="L535" s="530">
        <v>42.680265631286744</v>
      </c>
      <c r="M535" s="530">
        <v>124.7896806704816</v>
      </c>
      <c r="N535" s="530">
        <v>166.71731149589141</v>
      </c>
      <c r="O535" s="530">
        <v>178.31077579812177</v>
      </c>
      <c r="P535" s="530">
        <v>121.60491537784284</v>
      </c>
      <c r="Q535" s="530">
        <v>119.45052384322986</v>
      </c>
      <c r="R535" s="530">
        <v>79.695095177226875</v>
      </c>
      <c r="S535" s="530">
        <v>53.926728034785711</v>
      </c>
      <c r="T535" s="530">
        <v>887.17529602886691</v>
      </c>
      <c r="U535" s="530" t="s">
        <v>61</v>
      </c>
    </row>
    <row r="536" spans="1:21" ht="13.8" x14ac:dyDescent="0.3">
      <c r="A536" s="530" t="str">
        <f t="shared" si="16"/>
        <v>Gwynedd.2021.Visitor Days.Non-Serviced Accommodation</v>
      </c>
      <c r="B536" s="530" t="s">
        <v>219</v>
      </c>
      <c r="C536" s="530" t="str">
        <f t="shared" si="17"/>
        <v>2021.Visitor Days.Non-Serviced Accommodation</v>
      </c>
      <c r="D536" s="530" t="s">
        <v>241</v>
      </c>
      <c r="E536" s="530" t="s">
        <v>171</v>
      </c>
      <c r="F536" s="530" t="s">
        <v>48</v>
      </c>
      <c r="G536" s="530" t="s">
        <v>48</v>
      </c>
      <c r="H536" s="530">
        <v>0</v>
      </c>
      <c r="I536" s="530">
        <v>0</v>
      </c>
      <c r="J536" s="530">
        <v>264.00408462595885</v>
      </c>
      <c r="K536" s="530">
        <v>836.54991433379666</v>
      </c>
      <c r="L536" s="530">
        <v>1023.2556738491568</v>
      </c>
      <c r="M536" s="530">
        <v>1550.1231618985157</v>
      </c>
      <c r="N536" s="530">
        <v>1901.0250673770834</v>
      </c>
      <c r="O536" s="530">
        <v>2840.9886202398711</v>
      </c>
      <c r="P536" s="530">
        <v>2440.66186125995</v>
      </c>
      <c r="Q536" s="530">
        <v>2352.9456486537219</v>
      </c>
      <c r="R536" s="530">
        <v>590.2289527821182</v>
      </c>
      <c r="S536" s="530">
        <v>713.44963316818894</v>
      </c>
      <c r="T536" s="530">
        <v>14513.232618188362</v>
      </c>
      <c r="U536" s="530" t="s">
        <v>61</v>
      </c>
    </row>
    <row r="537" spans="1:21" ht="13.8" x14ac:dyDescent="0.3">
      <c r="A537" s="530" t="str">
        <f t="shared" si="16"/>
        <v>Gwynedd.2021.Visitor Days.SFR</v>
      </c>
      <c r="B537" s="530" t="s">
        <v>219</v>
      </c>
      <c r="C537" s="530" t="str">
        <f t="shared" si="17"/>
        <v>2021.Visitor Days.SFR</v>
      </c>
      <c r="D537" s="530" t="s">
        <v>241</v>
      </c>
      <c r="E537" s="530" t="s">
        <v>171</v>
      </c>
      <c r="F537" s="530" t="s">
        <v>18</v>
      </c>
      <c r="G537" s="530" t="s">
        <v>18</v>
      </c>
      <c r="H537" s="530">
        <v>0</v>
      </c>
      <c r="I537" s="530">
        <v>0</v>
      </c>
      <c r="J537" s="530">
        <v>0</v>
      </c>
      <c r="K537" s="530">
        <v>0</v>
      </c>
      <c r="L537" s="530">
        <v>3.7551300000000003</v>
      </c>
      <c r="M537" s="530">
        <v>2.892644914090909</v>
      </c>
      <c r="N537" s="530">
        <v>23.469562499999995</v>
      </c>
      <c r="O537" s="530">
        <v>24.844736622727272</v>
      </c>
      <c r="P537" s="530">
        <v>12.797056320681818</v>
      </c>
      <c r="Q537" s="530">
        <v>12.784510772727272</v>
      </c>
      <c r="R537" s="530">
        <v>9.9617624829545441</v>
      </c>
      <c r="S537" s="530">
        <v>28.846225909090911</v>
      </c>
      <c r="T537" s="530">
        <v>119.35162952227273</v>
      </c>
      <c r="U537" s="530" t="s">
        <v>61</v>
      </c>
    </row>
    <row r="538" spans="1:21" ht="13.8" x14ac:dyDescent="0.3">
      <c r="A538" s="530" t="str">
        <f t="shared" si="16"/>
        <v>Gwynedd.2021.Visitor Days.Day Visitor</v>
      </c>
      <c r="B538" s="530" t="s">
        <v>219</v>
      </c>
      <c r="C538" s="530" t="str">
        <f t="shared" si="17"/>
        <v>2021.Visitor Days.Day Visitor</v>
      </c>
      <c r="D538" s="530" t="s">
        <v>241</v>
      </c>
      <c r="E538" s="530" t="s">
        <v>171</v>
      </c>
      <c r="F538" s="530" t="s">
        <v>71</v>
      </c>
      <c r="G538" s="530" t="s">
        <v>71</v>
      </c>
      <c r="H538" s="530">
        <v>0</v>
      </c>
      <c r="I538" s="530">
        <v>0</v>
      </c>
      <c r="J538" s="530">
        <v>61.880628532631242</v>
      </c>
      <c r="K538" s="530">
        <v>254.45741401949189</v>
      </c>
      <c r="L538" s="530">
        <v>280.82477714903985</v>
      </c>
      <c r="M538" s="530">
        <v>596.87504644617707</v>
      </c>
      <c r="N538" s="530">
        <v>479.24221122200674</v>
      </c>
      <c r="O538" s="530">
        <v>649.62403614989944</v>
      </c>
      <c r="P538" s="530">
        <v>342.41181900156948</v>
      </c>
      <c r="Q538" s="530">
        <v>253.26264782649491</v>
      </c>
      <c r="R538" s="530">
        <v>79.701699862236012</v>
      </c>
      <c r="S538" s="530">
        <v>50.607631381451512</v>
      </c>
      <c r="T538" s="530">
        <v>3048.8879115909986</v>
      </c>
      <c r="U538" s="530" t="s">
        <v>61</v>
      </c>
    </row>
    <row r="539" spans="1:21" ht="13.8" x14ac:dyDescent="0.3">
      <c r="A539" s="530" t="str">
        <f t="shared" si="16"/>
        <v>Gwynedd.2021.Visitor Days.Total</v>
      </c>
      <c r="B539" s="530" t="s">
        <v>219</v>
      </c>
      <c r="C539" s="530" t="str">
        <f t="shared" si="17"/>
        <v>2021.Visitor Days.Total</v>
      </c>
      <c r="D539" s="530" t="s">
        <v>241</v>
      </c>
      <c r="E539" s="530" t="s">
        <v>171</v>
      </c>
      <c r="F539" s="530" t="s">
        <v>54</v>
      </c>
      <c r="G539" s="530" t="s">
        <v>54</v>
      </c>
      <c r="H539" s="530">
        <v>0</v>
      </c>
      <c r="I539" s="530">
        <v>0</v>
      </c>
      <c r="J539" s="530">
        <v>325.8847131585901</v>
      </c>
      <c r="K539" s="530">
        <v>1091.0073283532886</v>
      </c>
      <c r="L539" s="530">
        <v>1350.5158466294833</v>
      </c>
      <c r="M539" s="530">
        <v>2274.680533929265</v>
      </c>
      <c r="N539" s="530">
        <v>2570.4541525949817</v>
      </c>
      <c r="O539" s="530">
        <v>3693.7681688106195</v>
      </c>
      <c r="P539" s="530">
        <v>2917.4756519600442</v>
      </c>
      <c r="Q539" s="530">
        <v>2738.443331096174</v>
      </c>
      <c r="R539" s="530">
        <v>759.58751030453573</v>
      </c>
      <c r="S539" s="530">
        <v>846.83021849351701</v>
      </c>
      <c r="T539" s="530">
        <v>18568.647455330498</v>
      </c>
      <c r="U539" s="530" t="s">
        <v>61</v>
      </c>
    </row>
    <row r="540" spans="1:21" ht="13.8" x14ac:dyDescent="0.3">
      <c r="A540" s="530" t="str">
        <f t="shared" si="16"/>
        <v>Gwynedd.2021.Visitor Numbers.Serviced Accommodation</v>
      </c>
      <c r="B540" s="530" t="s">
        <v>219</v>
      </c>
      <c r="C540" s="530" t="str">
        <f t="shared" si="17"/>
        <v>2021.Visitor Numbers.Serviced Accommodation</v>
      </c>
      <c r="D540" s="530" t="s">
        <v>241</v>
      </c>
      <c r="E540" s="530" t="s">
        <v>172</v>
      </c>
      <c r="F540" s="530" t="s">
        <v>43</v>
      </c>
      <c r="G540" s="530" t="s">
        <v>43</v>
      </c>
      <c r="H540" s="530">
        <v>0</v>
      </c>
      <c r="I540" s="530">
        <v>0</v>
      </c>
      <c r="J540" s="530">
        <v>0</v>
      </c>
      <c r="K540" s="530">
        <v>0</v>
      </c>
      <c r="L540" s="530">
        <v>22.667701578909924</v>
      </c>
      <c r="M540" s="530">
        <v>70.861317846665003</v>
      </c>
      <c r="N540" s="530">
        <v>94.978791435503695</v>
      </c>
      <c r="O540" s="530">
        <v>101.08382366214117</v>
      </c>
      <c r="P540" s="530">
        <v>61.888211743390002</v>
      </c>
      <c r="Q540" s="530">
        <v>68.513656187747856</v>
      </c>
      <c r="R540" s="530">
        <v>46.850877186693104</v>
      </c>
      <c r="S540" s="530">
        <v>32.705074650608204</v>
      </c>
      <c r="T540" s="530">
        <v>499.54945429165895</v>
      </c>
      <c r="U540" s="530" t="s">
        <v>61</v>
      </c>
    </row>
    <row r="541" spans="1:21" ht="13.8" x14ac:dyDescent="0.3">
      <c r="A541" s="530" t="str">
        <f t="shared" si="16"/>
        <v>Gwynedd.2021.Visitor Numbers.Non-Serviced Accommodation</v>
      </c>
      <c r="B541" s="530" t="s">
        <v>219</v>
      </c>
      <c r="C541" s="530" t="str">
        <f t="shared" si="17"/>
        <v>2021.Visitor Numbers.Non-Serviced Accommodation</v>
      </c>
      <c r="D541" s="530" t="s">
        <v>241</v>
      </c>
      <c r="E541" s="530" t="s">
        <v>172</v>
      </c>
      <c r="F541" s="530" t="s">
        <v>48</v>
      </c>
      <c r="G541" s="530" t="s">
        <v>48</v>
      </c>
      <c r="H541" s="530">
        <v>0</v>
      </c>
      <c r="I541" s="530">
        <v>0</v>
      </c>
      <c r="J541" s="530">
        <v>55.832825118581262</v>
      </c>
      <c r="K541" s="530">
        <v>145.97644504465055</v>
      </c>
      <c r="L541" s="530">
        <v>166.9869047052139</v>
      </c>
      <c r="M541" s="530">
        <v>243.39417733862564</v>
      </c>
      <c r="N541" s="530">
        <v>288.01894160807359</v>
      </c>
      <c r="O541" s="530">
        <v>390.6766625559747</v>
      </c>
      <c r="P541" s="530">
        <v>383.45685493060319</v>
      </c>
      <c r="Q541" s="530">
        <v>368.63443546290404</v>
      </c>
      <c r="R541" s="530">
        <v>149.72151016125446</v>
      </c>
      <c r="S541" s="530">
        <v>144.23746955486732</v>
      </c>
      <c r="T541" s="530">
        <v>2336.9362264807487</v>
      </c>
      <c r="U541" s="530" t="s">
        <v>61</v>
      </c>
    </row>
    <row r="542" spans="1:21" ht="13.8" x14ac:dyDescent="0.3">
      <c r="A542" s="530" t="str">
        <f t="shared" si="16"/>
        <v>Gwynedd.2021.Visitor Numbers.SFR</v>
      </c>
      <c r="B542" s="530" t="s">
        <v>219</v>
      </c>
      <c r="C542" s="530" t="str">
        <f t="shared" si="17"/>
        <v>2021.Visitor Numbers.SFR</v>
      </c>
      <c r="D542" s="530" t="s">
        <v>241</v>
      </c>
      <c r="E542" s="530" t="s">
        <v>172</v>
      </c>
      <c r="F542" s="530" t="s">
        <v>18</v>
      </c>
      <c r="G542" s="530" t="s">
        <v>18</v>
      </c>
      <c r="H542" s="530">
        <v>0</v>
      </c>
      <c r="I542" s="530">
        <v>0</v>
      </c>
      <c r="J542" s="530">
        <v>0</v>
      </c>
      <c r="K542" s="530">
        <v>0</v>
      </c>
      <c r="L542" s="530">
        <v>1.7068772727272727</v>
      </c>
      <c r="M542" s="530">
        <v>1.3774499590909091</v>
      </c>
      <c r="N542" s="530">
        <v>9.3878249999999976</v>
      </c>
      <c r="O542" s="530">
        <v>9.5556679318181814</v>
      </c>
      <c r="P542" s="530">
        <v>5.8972609772727278</v>
      </c>
      <c r="Q542" s="530">
        <v>5.9740704545454539</v>
      </c>
      <c r="R542" s="530">
        <v>4.9072721590909092</v>
      </c>
      <c r="S542" s="530">
        <v>11.094702272727273</v>
      </c>
      <c r="T542" s="530">
        <v>49.901126027272724</v>
      </c>
      <c r="U542" s="530" t="s">
        <v>61</v>
      </c>
    </row>
    <row r="543" spans="1:21" ht="13.8" x14ac:dyDescent="0.3">
      <c r="A543" s="530" t="str">
        <f t="shared" si="16"/>
        <v>Gwynedd.2021.Visitor Numbers.Day Visitor</v>
      </c>
      <c r="B543" s="530" t="s">
        <v>219</v>
      </c>
      <c r="C543" s="530" t="str">
        <f t="shared" si="17"/>
        <v>2021.Visitor Numbers.Day Visitor</v>
      </c>
      <c r="D543" s="530" t="s">
        <v>241</v>
      </c>
      <c r="E543" s="530" t="s">
        <v>172</v>
      </c>
      <c r="F543" s="530" t="s">
        <v>71</v>
      </c>
      <c r="G543" s="530" t="s">
        <v>71</v>
      </c>
      <c r="H543" s="530">
        <v>0</v>
      </c>
      <c r="I543" s="530">
        <v>0</v>
      </c>
      <c r="J543" s="530">
        <v>61.880628532631242</v>
      </c>
      <c r="K543" s="530">
        <v>254.45741401949189</v>
      </c>
      <c r="L543" s="530">
        <v>280.82477714903985</v>
      </c>
      <c r="M543" s="530">
        <v>596.87504644617707</v>
      </c>
      <c r="N543" s="530">
        <v>479.24221122200674</v>
      </c>
      <c r="O543" s="530">
        <v>649.62403614989944</v>
      </c>
      <c r="P543" s="530">
        <v>342.41181900156948</v>
      </c>
      <c r="Q543" s="530">
        <v>253.26264782649491</v>
      </c>
      <c r="R543" s="530">
        <v>79.701699862236012</v>
      </c>
      <c r="S543" s="530">
        <v>50.607631381451512</v>
      </c>
      <c r="T543" s="530">
        <v>3048.8879115909986</v>
      </c>
      <c r="U543" s="530" t="s">
        <v>61</v>
      </c>
    </row>
    <row r="544" spans="1:21" ht="13.8" x14ac:dyDescent="0.3">
      <c r="A544" s="530" t="str">
        <f t="shared" si="16"/>
        <v>Gwynedd.2021.Visitor Numbers.Total</v>
      </c>
      <c r="B544" s="530" t="s">
        <v>219</v>
      </c>
      <c r="C544" s="530" t="str">
        <f t="shared" si="17"/>
        <v>2021.Visitor Numbers.Total</v>
      </c>
      <c r="D544" s="530" t="s">
        <v>241</v>
      </c>
      <c r="E544" s="530" t="s">
        <v>172</v>
      </c>
      <c r="F544" s="530" t="s">
        <v>54</v>
      </c>
      <c r="G544" s="530" t="s">
        <v>54</v>
      </c>
      <c r="H544" s="530">
        <v>0</v>
      </c>
      <c r="I544" s="530">
        <v>0</v>
      </c>
      <c r="J544" s="530">
        <v>117.7134536512125</v>
      </c>
      <c r="K544" s="530">
        <v>400.43385906414244</v>
      </c>
      <c r="L544" s="530">
        <v>472.18626070589096</v>
      </c>
      <c r="M544" s="530">
        <v>912.50799159055862</v>
      </c>
      <c r="N544" s="530">
        <v>871.62776926558399</v>
      </c>
      <c r="O544" s="530">
        <v>1150.9401902998334</v>
      </c>
      <c r="P544" s="530">
        <v>793.65414665283538</v>
      </c>
      <c r="Q544" s="530">
        <v>696.38480993169219</v>
      </c>
      <c r="R544" s="530">
        <v>281.1813593692745</v>
      </c>
      <c r="S544" s="530">
        <v>238.64487785965429</v>
      </c>
      <c r="T544" s="530">
        <v>5935.2747183906777</v>
      </c>
      <c r="U544" s="530" t="s">
        <v>61</v>
      </c>
    </row>
    <row r="545" spans="1:21" ht="13.8" x14ac:dyDescent="0.3">
      <c r="A545" s="530" t="str">
        <f t="shared" si="16"/>
        <v>Gwynedd.2021.Vehicle Days.Serviced Accommodation</v>
      </c>
      <c r="B545" s="530" t="s">
        <v>219</v>
      </c>
      <c r="C545" s="530" t="str">
        <f t="shared" si="17"/>
        <v>2021.Vehicle Days.Serviced Accommodation</v>
      </c>
      <c r="D545" s="530" t="s">
        <v>241</v>
      </c>
      <c r="E545" s="530" t="s">
        <v>21</v>
      </c>
      <c r="F545" s="530" t="s">
        <v>43</v>
      </c>
      <c r="G545" s="530" t="s">
        <v>43</v>
      </c>
      <c r="H545" s="530">
        <v>0</v>
      </c>
      <c r="I545" s="530">
        <v>0</v>
      </c>
      <c r="J545" s="530">
        <v>0</v>
      </c>
      <c r="K545" s="530">
        <v>0</v>
      </c>
      <c r="L545" s="530">
        <v>12.093857333285133</v>
      </c>
      <c r="M545" s="530">
        <v>34.424276618857171</v>
      </c>
      <c r="N545" s="530">
        <v>43.114347699207002</v>
      </c>
      <c r="O545" s="530">
        <v>46.117255090289945</v>
      </c>
      <c r="P545" s="530">
        <v>31.45622446676046</v>
      </c>
      <c r="Q545" s="530">
        <v>35.055075381217051</v>
      </c>
      <c r="R545" s="530">
        <v>23.555457567725682</v>
      </c>
      <c r="S545" s="530">
        <v>13.962293129204941</v>
      </c>
      <c r="T545" s="530">
        <v>239.77878728654738</v>
      </c>
      <c r="U545" s="530" t="s">
        <v>61</v>
      </c>
    </row>
    <row r="546" spans="1:21" ht="13.8" x14ac:dyDescent="0.3">
      <c r="A546" s="530" t="str">
        <f t="shared" si="16"/>
        <v>Gwynedd.2021.Vehicle Days.Non-Serviced Accommodation</v>
      </c>
      <c r="B546" s="530" t="s">
        <v>219</v>
      </c>
      <c r="C546" s="530" t="str">
        <f t="shared" si="17"/>
        <v>2021.Vehicle Days.Non-Serviced Accommodation</v>
      </c>
      <c r="D546" s="530" t="s">
        <v>241</v>
      </c>
      <c r="E546" s="530" t="s">
        <v>21</v>
      </c>
      <c r="F546" s="530" t="s">
        <v>48</v>
      </c>
      <c r="G546" s="530" t="s">
        <v>48</v>
      </c>
      <c r="H546" s="530">
        <v>0</v>
      </c>
      <c r="I546" s="530">
        <v>0</v>
      </c>
      <c r="J546" s="530">
        <v>75.42346248512014</v>
      </c>
      <c r="K546" s="530">
        <v>227.13446695124327</v>
      </c>
      <c r="L546" s="530">
        <v>300.93362996631777</v>
      </c>
      <c r="M546" s="530">
        <v>458.60498556759023</v>
      </c>
      <c r="N546" s="530">
        <v>500.59720441276022</v>
      </c>
      <c r="O546" s="530">
        <v>718.52716316240515</v>
      </c>
      <c r="P546" s="530">
        <v>662.99686639938386</v>
      </c>
      <c r="Q546" s="530">
        <v>628.5058523489347</v>
      </c>
      <c r="R546" s="530">
        <v>167.25061583994645</v>
      </c>
      <c r="S546" s="530">
        <v>170.79224660266749</v>
      </c>
      <c r="T546" s="530">
        <v>3910.7664937363693</v>
      </c>
      <c r="U546" s="530" t="s">
        <v>61</v>
      </c>
    </row>
    <row r="547" spans="1:21" ht="13.8" x14ac:dyDescent="0.3">
      <c r="A547" s="530" t="str">
        <f t="shared" si="16"/>
        <v>Gwynedd.2021.Vehicle Days.SFR</v>
      </c>
      <c r="B547" s="530" t="s">
        <v>219</v>
      </c>
      <c r="C547" s="530" t="str">
        <f t="shared" si="17"/>
        <v>2021.Vehicle Days.SFR</v>
      </c>
      <c r="D547" s="530" t="s">
        <v>241</v>
      </c>
      <c r="E547" s="530" t="s">
        <v>21</v>
      </c>
      <c r="F547" s="530" t="s">
        <v>18</v>
      </c>
      <c r="G547" s="530" t="s">
        <v>18</v>
      </c>
      <c r="H547" s="530">
        <v>0</v>
      </c>
      <c r="I547" s="530">
        <v>0</v>
      </c>
      <c r="J547" s="530">
        <v>0</v>
      </c>
      <c r="K547" s="530">
        <v>0</v>
      </c>
      <c r="L547" s="530">
        <v>1.1766074</v>
      </c>
      <c r="M547" s="530">
        <v>0.90636207308181804</v>
      </c>
      <c r="N547" s="530">
        <v>7.3537962499999985</v>
      </c>
      <c r="O547" s="530">
        <v>7.7846841417878778</v>
      </c>
      <c r="P547" s="530">
        <v>4.0097443138136359</v>
      </c>
      <c r="Q547" s="530">
        <v>4.0058133754545455</v>
      </c>
      <c r="R547" s="530">
        <v>3.1213522446590902</v>
      </c>
      <c r="S547" s="530">
        <v>9.0384841181818185</v>
      </c>
      <c r="T547" s="530">
        <v>37.396843916978781</v>
      </c>
      <c r="U547" s="530" t="s">
        <v>61</v>
      </c>
    </row>
    <row r="548" spans="1:21" ht="13.8" x14ac:dyDescent="0.3">
      <c r="A548" s="530" t="str">
        <f t="shared" si="16"/>
        <v>Gwynedd.2021.Vehicle Days.Day Visitor</v>
      </c>
      <c r="B548" s="530" t="s">
        <v>219</v>
      </c>
      <c r="C548" s="530" t="str">
        <f t="shared" si="17"/>
        <v>2021.Vehicle Days.Day Visitor</v>
      </c>
      <c r="D548" s="530" t="s">
        <v>241</v>
      </c>
      <c r="E548" s="530" t="s">
        <v>21</v>
      </c>
      <c r="F548" s="530" t="s">
        <v>71</v>
      </c>
      <c r="G548" s="530" t="s">
        <v>71</v>
      </c>
      <c r="H548" s="530">
        <v>0</v>
      </c>
      <c r="I548" s="530">
        <v>0</v>
      </c>
      <c r="J548" s="530">
        <v>15.558558031061569</v>
      </c>
      <c r="K548" s="530">
        <v>55.98063108428822</v>
      </c>
      <c r="L548" s="530">
        <v>61.781450972788768</v>
      </c>
      <c r="M548" s="530">
        <v>150.07144024932452</v>
      </c>
      <c r="N548" s="530">
        <v>105.43328646884149</v>
      </c>
      <c r="O548" s="530">
        <v>142.91728795297789</v>
      </c>
      <c r="P548" s="530">
        <v>75.330600180345286</v>
      </c>
      <c r="Q548" s="530">
        <v>63.677465739233007</v>
      </c>
      <c r="R548" s="530">
        <v>20.039284536790767</v>
      </c>
      <c r="S548" s="530">
        <v>11.133678903919332</v>
      </c>
      <c r="T548" s="530">
        <v>701.92368411957079</v>
      </c>
      <c r="U548" s="530" t="s">
        <v>61</v>
      </c>
    </row>
    <row r="549" spans="1:21" ht="13.8" x14ac:dyDescent="0.3">
      <c r="A549" s="530" t="str">
        <f t="shared" si="16"/>
        <v>Gwynedd.2021.Vehicle Days.Total</v>
      </c>
      <c r="B549" s="530" t="s">
        <v>219</v>
      </c>
      <c r="C549" s="530" t="str">
        <f t="shared" si="17"/>
        <v>2021.Vehicle Days.Total</v>
      </c>
      <c r="D549" s="530" t="s">
        <v>241</v>
      </c>
      <c r="E549" s="530" t="s">
        <v>21</v>
      </c>
      <c r="F549" s="530" t="s">
        <v>54</v>
      </c>
      <c r="G549" s="530" t="s">
        <v>54</v>
      </c>
      <c r="H549" s="530">
        <v>0</v>
      </c>
      <c r="I549" s="530">
        <v>0</v>
      </c>
      <c r="J549" s="530">
        <v>90.982020516181706</v>
      </c>
      <c r="K549" s="530">
        <v>283.1150980355315</v>
      </c>
      <c r="L549" s="530">
        <v>375.98554567239171</v>
      </c>
      <c r="M549" s="530">
        <v>644.00706450885377</v>
      </c>
      <c r="N549" s="530">
        <v>656.49863483080867</v>
      </c>
      <c r="O549" s="530">
        <v>915.3463903474609</v>
      </c>
      <c r="P549" s="530">
        <v>773.79343536030319</v>
      </c>
      <c r="Q549" s="530">
        <v>731.24420684483925</v>
      </c>
      <c r="R549" s="530">
        <v>213.96671018912198</v>
      </c>
      <c r="S549" s="530">
        <v>204.92670275397359</v>
      </c>
      <c r="T549" s="530">
        <v>4889.8658090594663</v>
      </c>
      <c r="U549" s="530" t="s">
        <v>61</v>
      </c>
    </row>
    <row r="550" spans="1:21" ht="13.8" x14ac:dyDescent="0.3">
      <c r="A550" s="530" t="str">
        <f t="shared" si="16"/>
        <v>Gwynedd.2021.Vehicle Numbers.Serviced Accommodation</v>
      </c>
      <c r="B550" s="530" t="s">
        <v>219</v>
      </c>
      <c r="C550" s="530" t="str">
        <f t="shared" si="17"/>
        <v>2021.Vehicle Numbers.Serviced Accommodation</v>
      </c>
      <c r="D550" s="530" t="s">
        <v>241</v>
      </c>
      <c r="E550" s="530" t="s">
        <v>22</v>
      </c>
      <c r="F550" s="530" t="s">
        <v>43</v>
      </c>
      <c r="G550" s="530" t="s">
        <v>43</v>
      </c>
      <c r="H550" s="530">
        <v>0</v>
      </c>
      <c r="I550" s="530">
        <v>0</v>
      </c>
      <c r="J550" s="530">
        <v>0</v>
      </c>
      <c r="K550" s="530">
        <v>0</v>
      </c>
      <c r="L550" s="530">
        <v>6.4157269099345449</v>
      </c>
      <c r="M550" s="530">
        <v>19.540783839181142</v>
      </c>
      <c r="N550" s="530">
        <v>24.565511723383871</v>
      </c>
      <c r="O550" s="530">
        <v>26.153611722040008</v>
      </c>
      <c r="P550" s="530">
        <v>16.010408287542063</v>
      </c>
      <c r="Q550" s="530">
        <v>20.155998687983111</v>
      </c>
      <c r="R550" s="530">
        <v>13.685812232534058</v>
      </c>
      <c r="S550" s="530">
        <v>8.4707326536918295</v>
      </c>
      <c r="T550" s="530">
        <v>134.99858605629063</v>
      </c>
      <c r="U550" s="530" t="s">
        <v>61</v>
      </c>
    </row>
    <row r="551" spans="1:21" ht="13.8" x14ac:dyDescent="0.3">
      <c r="A551" s="530" t="str">
        <f t="shared" si="16"/>
        <v>Gwynedd.2021.Vehicle Numbers.Non-Serviced Accommodation</v>
      </c>
      <c r="B551" s="530" t="s">
        <v>219</v>
      </c>
      <c r="C551" s="530" t="str">
        <f t="shared" si="17"/>
        <v>2021.Vehicle Numbers.Non-Serviced Accommodation</v>
      </c>
      <c r="D551" s="530" t="s">
        <v>241</v>
      </c>
      <c r="E551" s="530" t="s">
        <v>22</v>
      </c>
      <c r="F551" s="530" t="s">
        <v>48</v>
      </c>
      <c r="G551" s="530" t="s">
        <v>48</v>
      </c>
      <c r="H551" s="530">
        <v>0</v>
      </c>
      <c r="I551" s="530">
        <v>0</v>
      </c>
      <c r="J551" s="530">
        <v>15.954436079987266</v>
      </c>
      <c r="K551" s="530">
        <v>39.216868641408269</v>
      </c>
      <c r="L551" s="530">
        <v>49.03207619253417</v>
      </c>
      <c r="M551" s="530">
        <v>71.878397063177886</v>
      </c>
      <c r="N551" s="530">
        <v>75.328459995681854</v>
      </c>
      <c r="O551" s="530">
        <v>98.267936488228017</v>
      </c>
      <c r="P551" s="530">
        <v>104.70838319046082</v>
      </c>
      <c r="Q551" s="530">
        <v>98.162152569019597</v>
      </c>
      <c r="R551" s="530">
        <v>42.384715892441889</v>
      </c>
      <c r="S551" s="530">
        <v>34.131135026552464</v>
      </c>
      <c r="T551" s="530">
        <v>629.0645611394923</v>
      </c>
      <c r="U551" s="530" t="s">
        <v>61</v>
      </c>
    </row>
    <row r="552" spans="1:21" ht="13.8" x14ac:dyDescent="0.3">
      <c r="A552" s="530" t="str">
        <f t="shared" si="16"/>
        <v>Gwynedd.2021.Vehicle Numbers.SFR</v>
      </c>
      <c r="B552" s="530" t="s">
        <v>219</v>
      </c>
      <c r="C552" s="530" t="str">
        <f t="shared" si="17"/>
        <v>2021.Vehicle Numbers.SFR</v>
      </c>
      <c r="D552" s="530" t="s">
        <v>241</v>
      </c>
      <c r="E552" s="530" t="s">
        <v>22</v>
      </c>
      <c r="F552" s="530" t="s">
        <v>18</v>
      </c>
      <c r="G552" s="530" t="s">
        <v>18</v>
      </c>
      <c r="H552" s="530">
        <v>0</v>
      </c>
      <c r="I552" s="530">
        <v>0</v>
      </c>
      <c r="J552" s="530">
        <v>0</v>
      </c>
      <c r="K552" s="530">
        <v>0</v>
      </c>
      <c r="L552" s="530">
        <v>0.53482154545454541</v>
      </c>
      <c r="M552" s="530">
        <v>0.43160098718181816</v>
      </c>
      <c r="N552" s="530">
        <v>2.941518499999999</v>
      </c>
      <c r="O552" s="530">
        <v>2.99410928530303</v>
      </c>
      <c r="P552" s="530">
        <v>1.8478084395454546</v>
      </c>
      <c r="Q552" s="530">
        <v>1.8718754090909089</v>
      </c>
      <c r="R552" s="530">
        <v>1.537611943181818</v>
      </c>
      <c r="S552" s="530">
        <v>3.4763400454545454</v>
      </c>
      <c r="T552" s="530">
        <v>15.63568615521212</v>
      </c>
      <c r="U552" s="530" t="s">
        <v>61</v>
      </c>
    </row>
    <row r="553" spans="1:21" ht="13.8" x14ac:dyDescent="0.3">
      <c r="A553" s="530" t="str">
        <f t="shared" si="16"/>
        <v>Gwynedd.2021.Vehicle Numbers.Day Visitor</v>
      </c>
      <c r="B553" s="530" t="s">
        <v>219</v>
      </c>
      <c r="C553" s="530" t="str">
        <f t="shared" si="17"/>
        <v>2021.Vehicle Numbers.Day Visitor</v>
      </c>
      <c r="D553" s="530" t="s">
        <v>241</v>
      </c>
      <c r="E553" s="530" t="s">
        <v>22</v>
      </c>
      <c r="F553" s="530" t="s">
        <v>71</v>
      </c>
      <c r="G553" s="530" t="s">
        <v>71</v>
      </c>
      <c r="H553" s="530">
        <v>0</v>
      </c>
      <c r="I553" s="530">
        <v>0</v>
      </c>
      <c r="J553" s="530">
        <v>15.558558031061569</v>
      </c>
      <c r="K553" s="530">
        <v>55.98063108428822</v>
      </c>
      <c r="L553" s="530">
        <v>61.781450972788768</v>
      </c>
      <c r="M553" s="530">
        <v>150.07144024932452</v>
      </c>
      <c r="N553" s="530">
        <v>105.43328646884149</v>
      </c>
      <c r="O553" s="530">
        <v>142.91728795297789</v>
      </c>
      <c r="P553" s="530">
        <v>75.330600180345286</v>
      </c>
      <c r="Q553" s="530">
        <v>63.677465739233007</v>
      </c>
      <c r="R553" s="530">
        <v>20.039284536790767</v>
      </c>
      <c r="S553" s="530">
        <v>11.133678903919332</v>
      </c>
      <c r="T553" s="530">
        <v>701.92368411957079</v>
      </c>
      <c r="U553" s="530" t="s">
        <v>61</v>
      </c>
    </row>
    <row r="554" spans="1:21" ht="13.8" x14ac:dyDescent="0.3">
      <c r="A554" s="530" t="str">
        <f t="shared" si="16"/>
        <v>Gwynedd.2021.Vehicle Numbers.Total</v>
      </c>
      <c r="B554" s="530" t="s">
        <v>219</v>
      </c>
      <c r="C554" s="530" t="str">
        <f t="shared" si="17"/>
        <v>2021.Vehicle Numbers.Total</v>
      </c>
      <c r="D554" s="530" t="s">
        <v>241</v>
      </c>
      <c r="E554" s="530" t="s">
        <v>22</v>
      </c>
      <c r="F554" s="530" t="s">
        <v>54</v>
      </c>
      <c r="G554" s="530" t="s">
        <v>54</v>
      </c>
      <c r="H554" s="530">
        <v>0</v>
      </c>
      <c r="I554" s="530">
        <v>0</v>
      </c>
      <c r="J554" s="530">
        <v>31.512994111048833</v>
      </c>
      <c r="K554" s="530">
        <v>95.197499725696488</v>
      </c>
      <c r="L554" s="530">
        <v>117.76407562071202</v>
      </c>
      <c r="M554" s="530">
        <v>241.92222213886538</v>
      </c>
      <c r="N554" s="530">
        <v>208.26877668790721</v>
      </c>
      <c r="O554" s="530">
        <v>270.33294544854891</v>
      </c>
      <c r="P554" s="530">
        <v>197.89720009789363</v>
      </c>
      <c r="Q554" s="530">
        <v>183.86749240532663</v>
      </c>
      <c r="R554" s="530">
        <v>77.647424604948526</v>
      </c>
      <c r="S554" s="530">
        <v>57.211886629618178</v>
      </c>
      <c r="T554" s="530">
        <v>1481.622517470566</v>
      </c>
      <c r="U554" s="530" t="s">
        <v>61</v>
      </c>
    </row>
    <row r="555" spans="1:21" ht="13.8" x14ac:dyDescent="0.3">
      <c r="A555" s="530" t="str">
        <f t="shared" si="16"/>
        <v>Gwynedd.2021.Accommodation.Serviced Accommodation</v>
      </c>
      <c r="B555" s="530" t="s">
        <v>219</v>
      </c>
      <c r="C555" s="530" t="str">
        <f t="shared" si="17"/>
        <v>2021.Accommodation.Serviced Accommodation</v>
      </c>
      <c r="D555" s="530" t="s">
        <v>241</v>
      </c>
      <c r="E555" s="530" t="s">
        <v>23</v>
      </c>
      <c r="F555" s="530" t="s">
        <v>43</v>
      </c>
      <c r="G555" s="530" t="s">
        <v>43</v>
      </c>
      <c r="H555" s="530">
        <v>0</v>
      </c>
      <c r="I555" s="530">
        <v>0</v>
      </c>
      <c r="J555" s="530">
        <v>0</v>
      </c>
      <c r="K555" s="530">
        <v>0</v>
      </c>
      <c r="L555" s="530">
        <v>3060.4799999999996</v>
      </c>
      <c r="M555" s="530">
        <v>6376</v>
      </c>
      <c r="N555" s="530">
        <v>6376</v>
      </c>
      <c r="O555" s="530">
        <v>6376</v>
      </c>
      <c r="P555" s="530">
        <v>6376</v>
      </c>
      <c r="Q555" s="530">
        <v>6359</v>
      </c>
      <c r="R555" s="530">
        <v>6176</v>
      </c>
      <c r="S555" s="530">
        <v>6143</v>
      </c>
      <c r="T555" s="530">
        <v>6376</v>
      </c>
      <c r="U555" s="530" t="s">
        <v>58</v>
      </c>
    </row>
    <row r="556" spans="1:21" ht="13.8" x14ac:dyDescent="0.3">
      <c r="A556" s="530" t="str">
        <f t="shared" si="16"/>
        <v>Gwynedd.2021.Accommodation.Non-Serviced Accommodation</v>
      </c>
      <c r="B556" s="530" t="s">
        <v>219</v>
      </c>
      <c r="C556" s="530" t="str">
        <f t="shared" si="17"/>
        <v>2021.Accommodation.Non-Serviced Accommodation</v>
      </c>
      <c r="D556" s="530" t="s">
        <v>241</v>
      </c>
      <c r="E556" s="530" t="s">
        <v>23</v>
      </c>
      <c r="F556" s="530" t="s">
        <v>48</v>
      </c>
      <c r="G556" s="530" t="s">
        <v>48</v>
      </c>
      <c r="H556" s="530">
        <v>0</v>
      </c>
      <c r="I556" s="530">
        <v>0</v>
      </c>
      <c r="J556" s="530">
        <v>15040.971919996247</v>
      </c>
      <c r="K556" s="530">
        <v>102804.77113291813</v>
      </c>
      <c r="L556" s="530">
        <v>102488.098204391</v>
      </c>
      <c r="M556" s="530">
        <v>103791.34008587204</v>
      </c>
      <c r="N556" s="530">
        <v>103386.61086842041</v>
      </c>
      <c r="O556" s="530">
        <v>102041.91011784214</v>
      </c>
      <c r="P556" s="530">
        <v>102506.47080315434</v>
      </c>
      <c r="Q556" s="530">
        <v>102785.74978855158</v>
      </c>
      <c r="R556" s="530">
        <v>62304.431569333676</v>
      </c>
      <c r="S556" s="530">
        <v>57053.419913287093</v>
      </c>
      <c r="T556" s="530">
        <v>103791.34008587204</v>
      </c>
      <c r="U556" s="530" t="s">
        <v>58</v>
      </c>
    </row>
    <row r="557" spans="1:21" ht="13.8" x14ac:dyDescent="0.3">
      <c r="A557" s="530" t="str">
        <f t="shared" si="16"/>
        <v>Gwynedd.2021.Accommodation.Total</v>
      </c>
      <c r="B557" s="530" t="s">
        <v>219</v>
      </c>
      <c r="C557" s="530" t="str">
        <f t="shared" si="17"/>
        <v>2021.Accommodation.Total</v>
      </c>
      <c r="D557" s="530" t="s">
        <v>241</v>
      </c>
      <c r="E557" s="530" t="s">
        <v>23</v>
      </c>
      <c r="F557" s="530" t="s">
        <v>54</v>
      </c>
      <c r="G557" s="530" t="s">
        <v>54</v>
      </c>
      <c r="H557" s="530">
        <v>0</v>
      </c>
      <c r="I557" s="530">
        <v>0</v>
      </c>
      <c r="J557" s="530">
        <v>15040.971919996247</v>
      </c>
      <c r="K557" s="530">
        <v>102804.77113291813</v>
      </c>
      <c r="L557" s="530">
        <v>105548.578204391</v>
      </c>
      <c r="M557" s="530">
        <v>110167.34008587204</v>
      </c>
      <c r="N557" s="530">
        <v>109762.61086842041</v>
      </c>
      <c r="O557" s="530">
        <v>108417.91011784214</v>
      </c>
      <c r="P557" s="530">
        <v>108882.47080315434</v>
      </c>
      <c r="Q557" s="530">
        <v>109144.74978855158</v>
      </c>
      <c r="R557" s="530">
        <v>68480.431569333683</v>
      </c>
      <c r="S557" s="530">
        <v>63196.419913287093</v>
      </c>
      <c r="T557" s="530">
        <v>110167.34008587204</v>
      </c>
      <c r="U557" s="530" t="s">
        <v>58</v>
      </c>
    </row>
    <row r="558" spans="1:21" ht="13.8" x14ac:dyDescent="0.3">
      <c r="A558" s="530" t="str">
        <f t="shared" si="16"/>
        <v>Gwynedd.2021.Economic Impact.Total</v>
      </c>
      <c r="B558" s="530" t="s">
        <v>219</v>
      </c>
      <c r="C558" s="530" t="str">
        <f t="shared" si="17"/>
        <v>2021.Economic Impact.Total</v>
      </c>
      <c r="D558" s="530" t="s">
        <v>241</v>
      </c>
      <c r="E558" s="530" t="s">
        <v>17</v>
      </c>
      <c r="F558" s="530" t="s">
        <v>54</v>
      </c>
      <c r="G558" s="530" t="s">
        <v>54</v>
      </c>
      <c r="H558" s="530">
        <v>0</v>
      </c>
      <c r="I558" s="530">
        <v>0</v>
      </c>
      <c r="J558" s="530">
        <v>18290.323569131324</v>
      </c>
      <c r="K558" s="530">
        <v>58841.392686771862</v>
      </c>
      <c r="L558" s="530">
        <v>76079.1427520703</v>
      </c>
      <c r="M558" s="530">
        <v>146482.94207758544</v>
      </c>
      <c r="N558" s="530">
        <v>177568.10753873503</v>
      </c>
      <c r="O558" s="530">
        <v>222398.78295236325</v>
      </c>
      <c r="P558" s="530">
        <v>183824.93747156695</v>
      </c>
      <c r="Q558" s="530">
        <v>153011.09350766917</v>
      </c>
      <c r="R558" s="530">
        <v>51887.355930878242</v>
      </c>
      <c r="S558" s="530">
        <v>58286.933479781153</v>
      </c>
      <c r="T558" s="530">
        <v>1146671.0119665528</v>
      </c>
      <c r="U558" s="530" t="s">
        <v>57</v>
      </c>
    </row>
    <row r="559" spans="1:21" ht="13.8" x14ac:dyDescent="0.3">
      <c r="A559" s="530" t="str">
        <f t="shared" si="16"/>
        <v>Gwynedd.2022.Economic Impact.Indirect Expenditure</v>
      </c>
      <c r="B559" s="530" t="s">
        <v>219</v>
      </c>
      <c r="C559" s="530" t="str">
        <f t="shared" si="17"/>
        <v>2022.Economic Impact.Indirect Expenditure</v>
      </c>
      <c r="D559" s="530" t="s">
        <v>242</v>
      </c>
      <c r="E559" s="530" t="s">
        <v>17</v>
      </c>
      <c r="F559" s="530" t="s">
        <v>45</v>
      </c>
      <c r="G559" s="530" t="s">
        <v>45</v>
      </c>
      <c r="H559" s="530">
        <v>14348.061388534794</v>
      </c>
      <c r="I559" s="530">
        <v>16712.617476063824</v>
      </c>
      <c r="J559" s="530">
        <v>35405.004341423417</v>
      </c>
      <c r="K559" s="530">
        <v>33573.373544619586</v>
      </c>
      <c r="L559" s="530">
        <v>38512.132473412879</v>
      </c>
      <c r="M559" s="530">
        <v>42850.505670068291</v>
      </c>
      <c r="N559" s="530">
        <v>51843.215929082071</v>
      </c>
      <c r="O559" s="530">
        <v>57991.576960025151</v>
      </c>
      <c r="P559" s="530">
        <v>42113.056075181055</v>
      </c>
      <c r="Q559" s="530">
        <v>33715.705682939537</v>
      </c>
      <c r="R559" s="530">
        <v>19661.465367645658</v>
      </c>
      <c r="S559" s="530">
        <v>17691.92169747737</v>
      </c>
      <c r="T559" s="530">
        <v>404418.63660647365</v>
      </c>
      <c r="U559" s="530" t="s">
        <v>57</v>
      </c>
    </row>
    <row r="560" spans="1:21" ht="13.8" x14ac:dyDescent="0.3">
      <c r="A560" s="530" t="str">
        <f t="shared" si="16"/>
        <v>Gwynedd.2022.Economic Impact.Direct Revenue</v>
      </c>
      <c r="B560" s="530" t="s">
        <v>219</v>
      </c>
      <c r="C560" s="530" t="str">
        <f t="shared" si="17"/>
        <v>2022.Economic Impact.Direct Revenue</v>
      </c>
      <c r="D560" s="530" t="s">
        <v>242</v>
      </c>
      <c r="E560" s="530" t="s">
        <v>17</v>
      </c>
      <c r="F560" s="530" t="s">
        <v>46</v>
      </c>
      <c r="G560" s="530" t="s">
        <v>46</v>
      </c>
      <c r="H560" s="530">
        <v>31541.994854702698</v>
      </c>
      <c r="I560" s="530">
        <v>37223.005548639259</v>
      </c>
      <c r="J560" s="530">
        <v>86270.483779675837</v>
      </c>
      <c r="K560" s="530">
        <v>77402.198026684957</v>
      </c>
      <c r="L560" s="530">
        <v>88806.118150122609</v>
      </c>
      <c r="M560" s="530">
        <v>99954.271831470571</v>
      </c>
      <c r="N560" s="530">
        <v>121567.79067255359</v>
      </c>
      <c r="O560" s="530">
        <v>136486.56873313684</v>
      </c>
      <c r="P560" s="530">
        <v>96703.344562929764</v>
      </c>
      <c r="Q560" s="530">
        <v>77779.422481950271</v>
      </c>
      <c r="R560" s="530">
        <v>44528.274177885796</v>
      </c>
      <c r="S560" s="530">
        <v>39181.563345202085</v>
      </c>
      <c r="T560" s="530">
        <v>937445.0361649543</v>
      </c>
      <c r="U560" s="530" t="s">
        <v>57</v>
      </c>
    </row>
    <row r="561" spans="1:21" ht="13.8" x14ac:dyDescent="0.3">
      <c r="A561" s="530" t="str">
        <f t="shared" si="16"/>
        <v>Gwynedd.2022.Economic Impact.VAT</v>
      </c>
      <c r="B561" s="530" t="s">
        <v>219</v>
      </c>
      <c r="C561" s="530" t="str">
        <f t="shared" si="17"/>
        <v>2022.Economic Impact.VAT</v>
      </c>
      <c r="D561" s="530" t="s">
        <v>242</v>
      </c>
      <c r="E561" s="530" t="s">
        <v>17</v>
      </c>
      <c r="F561" s="530" t="s">
        <v>47</v>
      </c>
      <c r="G561" s="530" t="s">
        <v>47</v>
      </c>
      <c r="H561" s="530">
        <v>5090.0245348116414</v>
      </c>
      <c r="I561" s="530">
        <v>5978.0415908067371</v>
      </c>
      <c r="J561" s="530">
        <v>14027.721682062089</v>
      </c>
      <c r="K561" s="530">
        <v>15480.439605336995</v>
      </c>
      <c r="L561" s="530">
        <v>17761.22363002452</v>
      </c>
      <c r="M561" s="530">
        <v>19990.854366294116</v>
      </c>
      <c r="N561" s="530">
        <v>24313.558134510724</v>
      </c>
      <c r="O561" s="530">
        <v>27297.313746627369</v>
      </c>
      <c r="P561" s="530">
        <v>19340.668912585952</v>
      </c>
      <c r="Q561" s="530">
        <v>15555.884496390054</v>
      </c>
      <c r="R561" s="530">
        <v>8905.6548355771611</v>
      </c>
      <c r="S561" s="530">
        <v>7836.3126690404169</v>
      </c>
      <c r="T561" s="530">
        <v>181577.69820406777</v>
      </c>
      <c r="U561" s="530" t="s">
        <v>57</v>
      </c>
    </row>
    <row r="562" spans="1:21" ht="13.8" x14ac:dyDescent="0.3">
      <c r="A562" s="530" t="str">
        <f t="shared" si="16"/>
        <v>Gwynedd.2022.Economic Impact.Serviced Accommodation</v>
      </c>
      <c r="B562" s="530" t="s">
        <v>219</v>
      </c>
      <c r="C562" s="530" t="str">
        <f t="shared" si="17"/>
        <v>2022.Economic Impact.Serviced Accommodation</v>
      </c>
      <c r="D562" s="530" t="s">
        <v>242</v>
      </c>
      <c r="E562" s="530" t="s">
        <v>17</v>
      </c>
      <c r="F562" s="530" t="s">
        <v>43</v>
      </c>
      <c r="G562" s="530" t="s">
        <v>43</v>
      </c>
      <c r="H562" s="530">
        <v>2068.5748130546076</v>
      </c>
      <c r="I562" s="530">
        <v>4648.9224884416963</v>
      </c>
      <c r="J562" s="530">
        <v>8488.9290301817218</v>
      </c>
      <c r="K562" s="530">
        <v>10006.866423473122</v>
      </c>
      <c r="L562" s="530">
        <v>11945.095964703747</v>
      </c>
      <c r="M562" s="530">
        <v>12566.800340973008</v>
      </c>
      <c r="N562" s="530">
        <v>24213.375235050167</v>
      </c>
      <c r="O562" s="530">
        <v>24918.17747379289</v>
      </c>
      <c r="P562" s="530">
        <v>16167.127395296584</v>
      </c>
      <c r="Q562" s="530">
        <v>12359.954952189451</v>
      </c>
      <c r="R562" s="530">
        <v>8517.2060413507825</v>
      </c>
      <c r="S562" s="530">
        <v>6362.8327516727932</v>
      </c>
      <c r="T562" s="530">
        <v>142263.86291018059</v>
      </c>
      <c r="U562" s="530" t="s">
        <v>57</v>
      </c>
    </row>
    <row r="563" spans="1:21" ht="13.8" x14ac:dyDescent="0.3">
      <c r="A563" s="530" t="str">
        <f t="shared" si="16"/>
        <v>Gwynedd.2022.Economic Impact.Non-Serviced Accommodation</v>
      </c>
      <c r="B563" s="530" t="s">
        <v>219</v>
      </c>
      <c r="C563" s="530" t="str">
        <f t="shared" si="17"/>
        <v>2022.Economic Impact.Non-Serviced Accommodation</v>
      </c>
      <c r="D563" s="530" t="s">
        <v>242</v>
      </c>
      <c r="E563" s="530" t="s">
        <v>17</v>
      </c>
      <c r="F563" s="530" t="s">
        <v>48</v>
      </c>
      <c r="G563" s="530" t="s">
        <v>48</v>
      </c>
      <c r="H563" s="530">
        <v>43891.049686025457</v>
      </c>
      <c r="I563" s="530">
        <v>49967.409705116763</v>
      </c>
      <c r="J563" s="530">
        <v>109790.9597382369</v>
      </c>
      <c r="K563" s="530">
        <v>89878.393246937267</v>
      </c>
      <c r="L563" s="530">
        <v>109105.74058250024</v>
      </c>
      <c r="M563" s="530">
        <v>117216.66812190303</v>
      </c>
      <c r="N563" s="530">
        <v>144431.56965278054</v>
      </c>
      <c r="O563" s="530">
        <v>156294.66025827598</v>
      </c>
      <c r="P563" s="530">
        <v>124877.15690873298</v>
      </c>
      <c r="Q563" s="530">
        <v>100506.96511342507</v>
      </c>
      <c r="R563" s="530">
        <v>59225.445287944836</v>
      </c>
      <c r="S563" s="530">
        <v>52777.48605782925</v>
      </c>
      <c r="T563" s="530">
        <v>1157963.5043597082</v>
      </c>
      <c r="U563" s="530" t="s">
        <v>57</v>
      </c>
    </row>
    <row r="564" spans="1:21" ht="13.8" x14ac:dyDescent="0.3">
      <c r="A564" s="530" t="str">
        <f t="shared" si="16"/>
        <v>Gwynedd.2022.Economic Impact.SFR</v>
      </c>
      <c r="B564" s="530" t="s">
        <v>219</v>
      </c>
      <c r="C564" s="530" t="str">
        <f t="shared" si="17"/>
        <v>2022.Economic Impact.SFR</v>
      </c>
      <c r="D564" s="530" t="s">
        <v>242</v>
      </c>
      <c r="E564" s="530" t="s">
        <v>17</v>
      </c>
      <c r="F564" s="530" t="s">
        <v>18</v>
      </c>
      <c r="G564" s="530" t="s">
        <v>18</v>
      </c>
      <c r="H564" s="530">
        <v>2355.2002520357928</v>
      </c>
      <c r="I564" s="530">
        <v>791.34728468402636</v>
      </c>
      <c r="J564" s="530">
        <v>900.20987411145882</v>
      </c>
      <c r="K564" s="530">
        <v>2147.9426298566432</v>
      </c>
      <c r="L564" s="530">
        <v>1381.7174811943319</v>
      </c>
      <c r="M564" s="530">
        <v>1064.3620979000154</v>
      </c>
      <c r="N564" s="530">
        <v>1727.1468514929149</v>
      </c>
      <c r="O564" s="530">
        <v>1828.3471894337238</v>
      </c>
      <c r="P564" s="530">
        <v>941.74723251202954</v>
      </c>
      <c r="Q564" s="530">
        <v>940.82399401323153</v>
      </c>
      <c r="R564" s="530">
        <v>733.09533178367451</v>
      </c>
      <c r="S564" s="530">
        <v>2122.8204938349281</v>
      </c>
      <c r="T564" s="530">
        <v>16934.760712852767</v>
      </c>
      <c r="U564" s="530" t="s">
        <v>57</v>
      </c>
    </row>
    <row r="565" spans="1:21" ht="13.8" x14ac:dyDescent="0.3">
      <c r="A565" s="530" t="str">
        <f t="shared" si="16"/>
        <v>Gwynedd.2022.Economic Impact.Day Visitor</v>
      </c>
      <c r="B565" s="530" t="s">
        <v>219</v>
      </c>
      <c r="C565" s="530" t="str">
        <f t="shared" si="17"/>
        <v>2022.Economic Impact.Day Visitor</v>
      </c>
      <c r="D565" s="530" t="s">
        <v>242</v>
      </c>
      <c r="E565" s="530" t="s">
        <v>17</v>
      </c>
      <c r="F565" s="530" t="s">
        <v>71</v>
      </c>
      <c r="G565" s="530" t="s">
        <v>71</v>
      </c>
      <c r="H565" s="530">
        <v>2665.2560269332812</v>
      </c>
      <c r="I565" s="530">
        <v>4505.9851372673456</v>
      </c>
      <c r="J565" s="530">
        <v>16523.111160631266</v>
      </c>
      <c r="K565" s="530">
        <v>24422.808876374515</v>
      </c>
      <c r="L565" s="530">
        <v>22646.920225161681</v>
      </c>
      <c r="M565" s="530">
        <v>31947.801307056921</v>
      </c>
      <c r="N565" s="530">
        <v>27352.472996822748</v>
      </c>
      <c r="O565" s="530">
        <v>38734.274518286744</v>
      </c>
      <c r="P565" s="530">
        <v>16171.038014155161</v>
      </c>
      <c r="Q565" s="530">
        <v>13243.268601652078</v>
      </c>
      <c r="R565" s="530">
        <v>4619.647720029312</v>
      </c>
      <c r="S565" s="530">
        <v>3446.658408382893</v>
      </c>
      <c r="T565" s="530">
        <v>206279.24299275398</v>
      </c>
      <c r="U565" s="530" t="s">
        <v>57</v>
      </c>
    </row>
    <row r="566" spans="1:21" ht="13.8" x14ac:dyDescent="0.3">
      <c r="A566" s="530" t="str">
        <f t="shared" si="16"/>
        <v>Gwynedd.2022.Economic Impact.Accommodation</v>
      </c>
      <c r="B566" s="530" t="s">
        <v>219</v>
      </c>
      <c r="C566" s="530" t="str">
        <f t="shared" si="17"/>
        <v>2022.Economic Impact.Accommodation</v>
      </c>
      <c r="D566" s="530" t="s">
        <v>242</v>
      </c>
      <c r="E566" s="530" t="s">
        <v>17</v>
      </c>
      <c r="F566" s="530" t="s">
        <v>23</v>
      </c>
      <c r="G566" s="530" t="s">
        <v>23</v>
      </c>
      <c r="H566" s="530">
        <v>9119.761942671108</v>
      </c>
      <c r="I566" s="530">
        <v>11382.938626072942</v>
      </c>
      <c r="J566" s="530">
        <v>20251.93124616834</v>
      </c>
      <c r="K566" s="530">
        <v>18833.954254262033</v>
      </c>
      <c r="L566" s="530">
        <v>21055.422212714901</v>
      </c>
      <c r="M566" s="530">
        <v>22052.75095480583</v>
      </c>
      <c r="N566" s="530">
        <v>37497.370002758864</v>
      </c>
      <c r="O566" s="530">
        <v>39392.484729626034</v>
      </c>
      <c r="P566" s="530">
        <v>33409.629751239729</v>
      </c>
      <c r="Q566" s="530">
        <v>20216.786563401976</v>
      </c>
      <c r="R566" s="530">
        <v>14925.976627467915</v>
      </c>
      <c r="S566" s="530">
        <v>14447.102120406907</v>
      </c>
      <c r="T566" s="530">
        <v>262586.10903159663</v>
      </c>
      <c r="U566" s="530" t="s">
        <v>57</v>
      </c>
    </row>
    <row r="567" spans="1:21" ht="13.8" x14ac:dyDescent="0.3">
      <c r="A567" s="530" t="str">
        <f t="shared" si="16"/>
        <v>Gwynedd.2022.Economic Impact.Food &amp; Drink</v>
      </c>
      <c r="B567" s="530" t="s">
        <v>219</v>
      </c>
      <c r="C567" s="530" t="str">
        <f t="shared" si="17"/>
        <v>2022.Economic Impact.Food &amp; Drink</v>
      </c>
      <c r="D567" s="530" t="s">
        <v>242</v>
      </c>
      <c r="E567" s="530" t="s">
        <v>17</v>
      </c>
      <c r="F567" s="530" t="s">
        <v>49</v>
      </c>
      <c r="G567" s="530" t="s">
        <v>49</v>
      </c>
      <c r="H567" s="530">
        <v>7290.9766911967627</v>
      </c>
      <c r="I567" s="530">
        <v>8144.485417837057</v>
      </c>
      <c r="J567" s="530">
        <v>21218.033154200548</v>
      </c>
      <c r="K567" s="530">
        <v>18599.700108716617</v>
      </c>
      <c r="L567" s="530">
        <v>21615.74975989298</v>
      </c>
      <c r="M567" s="530">
        <v>24330.301798737033</v>
      </c>
      <c r="N567" s="530">
        <v>27267.798221496138</v>
      </c>
      <c r="O567" s="530">
        <v>30754.904413743869</v>
      </c>
      <c r="P567" s="530">
        <v>20491.192240496148</v>
      </c>
      <c r="Q567" s="530">
        <v>18614.251557814656</v>
      </c>
      <c r="R567" s="530">
        <v>9729.6926738392885</v>
      </c>
      <c r="S567" s="530">
        <v>8336.2522547939607</v>
      </c>
      <c r="T567" s="530">
        <v>216393.33829276505</v>
      </c>
      <c r="U567" s="530" t="s">
        <v>57</v>
      </c>
    </row>
    <row r="568" spans="1:21" ht="13.8" x14ac:dyDescent="0.3">
      <c r="A568" s="530" t="str">
        <f t="shared" si="16"/>
        <v>Gwynedd.2022.Economic Impact.Recreation</v>
      </c>
      <c r="B568" s="530" t="s">
        <v>219</v>
      </c>
      <c r="C568" s="530" t="str">
        <f t="shared" si="17"/>
        <v>2022.Economic Impact.Recreation</v>
      </c>
      <c r="D568" s="530" t="s">
        <v>242</v>
      </c>
      <c r="E568" s="530" t="s">
        <v>17</v>
      </c>
      <c r="F568" s="530" t="s">
        <v>50</v>
      </c>
      <c r="G568" s="530" t="s">
        <v>50</v>
      </c>
      <c r="H568" s="530">
        <v>2209.3306941999467</v>
      </c>
      <c r="I568" s="530">
        <v>2750.4323059966268</v>
      </c>
      <c r="J568" s="530">
        <v>9137.1709419852687</v>
      </c>
      <c r="K568" s="530">
        <v>6132.7208118652461</v>
      </c>
      <c r="L568" s="530">
        <v>7290.5188228380666</v>
      </c>
      <c r="M568" s="530">
        <v>8765.881626923363</v>
      </c>
      <c r="N568" s="530">
        <v>9047.1320859706739</v>
      </c>
      <c r="O568" s="530">
        <v>10399.768973671567</v>
      </c>
      <c r="P568" s="530">
        <v>7128.4825401228036</v>
      </c>
      <c r="Q568" s="530">
        <v>6596.1304693299217</v>
      </c>
      <c r="R568" s="530">
        <v>3570.0425060382881</v>
      </c>
      <c r="S568" s="530">
        <v>2882.0726134709198</v>
      </c>
      <c r="T568" s="530">
        <v>75909.684392412702</v>
      </c>
      <c r="U568" s="530" t="s">
        <v>57</v>
      </c>
    </row>
    <row r="569" spans="1:21" ht="13.8" x14ac:dyDescent="0.3">
      <c r="A569" s="530" t="str">
        <f t="shared" si="16"/>
        <v>Gwynedd.2022.Economic Impact.Shopping</v>
      </c>
      <c r="B569" s="530" t="s">
        <v>219</v>
      </c>
      <c r="C569" s="530" t="str">
        <f t="shared" si="17"/>
        <v>2022.Economic Impact.Shopping</v>
      </c>
      <c r="D569" s="530" t="s">
        <v>242</v>
      </c>
      <c r="E569" s="530" t="s">
        <v>17</v>
      </c>
      <c r="F569" s="530" t="s">
        <v>51</v>
      </c>
      <c r="G569" s="530" t="s">
        <v>51</v>
      </c>
      <c r="H569" s="530">
        <v>9878.6032726481299</v>
      </c>
      <c r="I569" s="530">
        <v>11352.409450681993</v>
      </c>
      <c r="J569" s="530">
        <v>25516.509453594812</v>
      </c>
      <c r="K569" s="530">
        <v>25245.30426317831</v>
      </c>
      <c r="L569" s="530">
        <v>28809.415706963537</v>
      </c>
      <c r="M569" s="530">
        <v>33170.21314492372</v>
      </c>
      <c r="N569" s="530">
        <v>35226.751361369294</v>
      </c>
      <c r="O569" s="530">
        <v>41547.352443743577</v>
      </c>
      <c r="P569" s="530">
        <v>26192.22963376026</v>
      </c>
      <c r="Q569" s="530">
        <v>23661.769666108215</v>
      </c>
      <c r="R569" s="530">
        <v>11833.759720376518</v>
      </c>
      <c r="S569" s="530">
        <v>9862.1362921802265</v>
      </c>
      <c r="T569" s="530">
        <v>282296.45440952858</v>
      </c>
      <c r="U569" s="530" t="s">
        <v>57</v>
      </c>
    </row>
    <row r="570" spans="1:21" ht="13.8" x14ac:dyDescent="0.3">
      <c r="A570" s="530" t="str">
        <f t="shared" si="16"/>
        <v>Gwynedd.2022.Economic Impact.Transport</v>
      </c>
      <c r="B570" s="530" t="s">
        <v>219</v>
      </c>
      <c r="C570" s="530" t="str">
        <f t="shared" si="17"/>
        <v>2022.Economic Impact.Transport</v>
      </c>
      <c r="D570" s="530" t="s">
        <v>242</v>
      </c>
      <c r="E570" s="530" t="s">
        <v>17</v>
      </c>
      <c r="F570" s="530" t="s">
        <v>52</v>
      </c>
      <c r="G570" s="530" t="s">
        <v>52</v>
      </c>
      <c r="H570" s="530">
        <v>3043.3222539867529</v>
      </c>
      <c r="I570" s="530">
        <v>3592.7397480506429</v>
      </c>
      <c r="J570" s="530">
        <v>10146.838983726868</v>
      </c>
      <c r="K570" s="530">
        <v>8590.5185886627642</v>
      </c>
      <c r="L570" s="530">
        <v>10035.011647713116</v>
      </c>
      <c r="M570" s="530">
        <v>11635.124306080632</v>
      </c>
      <c r="N570" s="530">
        <v>12528.739000958625</v>
      </c>
      <c r="O570" s="530">
        <v>14392.058172351784</v>
      </c>
      <c r="P570" s="530">
        <v>9481.8103973108191</v>
      </c>
      <c r="Q570" s="530">
        <v>8690.4842252955004</v>
      </c>
      <c r="R570" s="530">
        <v>4468.8026501637851</v>
      </c>
      <c r="S570" s="530">
        <v>3654.0000643500694</v>
      </c>
      <c r="T570" s="530">
        <v>100259.45003865135</v>
      </c>
      <c r="U570" s="530" t="s">
        <v>57</v>
      </c>
    </row>
    <row r="571" spans="1:21" ht="13.8" x14ac:dyDescent="0.3">
      <c r="A571" s="530" t="str">
        <f t="shared" si="16"/>
        <v>Gwynedd.2022.Economic Impact.Direct Expenditure</v>
      </c>
      <c r="B571" s="530" t="s">
        <v>219</v>
      </c>
      <c r="C571" s="530" t="str">
        <f t="shared" si="17"/>
        <v>2022.Economic Impact.Direct Expenditure</v>
      </c>
      <c r="D571" s="530" t="s">
        <v>242</v>
      </c>
      <c r="E571" s="530" t="s">
        <v>17</v>
      </c>
      <c r="F571" s="530" t="s">
        <v>44</v>
      </c>
      <c r="G571" s="530" t="s">
        <v>44</v>
      </c>
      <c r="H571" s="530">
        <v>36632.019389514346</v>
      </c>
      <c r="I571" s="530">
        <v>43201.047139446004</v>
      </c>
      <c r="J571" s="530">
        <v>100298.20546173792</v>
      </c>
      <c r="K571" s="530">
        <v>92882.637632021942</v>
      </c>
      <c r="L571" s="530">
        <v>106567.34178014712</v>
      </c>
      <c r="M571" s="530">
        <v>119945.12619776468</v>
      </c>
      <c r="N571" s="530">
        <v>145881.34880706432</v>
      </c>
      <c r="O571" s="530">
        <v>163783.88247976417</v>
      </c>
      <c r="P571" s="530">
        <v>116044.01347551572</v>
      </c>
      <c r="Q571" s="530">
        <v>93335.306978340304</v>
      </c>
      <c r="R571" s="530">
        <v>53433.929013462948</v>
      </c>
      <c r="S571" s="530">
        <v>47017.876014242487</v>
      </c>
      <c r="T571" s="530">
        <v>1119022.7343690218</v>
      </c>
      <c r="U571" s="530" t="s">
        <v>57</v>
      </c>
    </row>
    <row r="572" spans="1:21" ht="13.8" x14ac:dyDescent="0.3">
      <c r="A572" s="530" t="str">
        <f t="shared" si="16"/>
        <v>Gwynedd.2022.Population.Total</v>
      </c>
      <c r="B572" s="530" t="s">
        <v>219</v>
      </c>
      <c r="C572" s="530" t="str">
        <f t="shared" si="17"/>
        <v>2022.Population.Total</v>
      </c>
      <c r="D572" s="530" t="s">
        <v>242</v>
      </c>
      <c r="E572" s="530" t="s">
        <v>19</v>
      </c>
      <c r="F572" s="530" t="s">
        <v>54</v>
      </c>
      <c r="G572" s="530" t="s">
        <v>54</v>
      </c>
      <c r="H572" s="530">
        <v>117072</v>
      </c>
      <c r="I572" s="530">
        <v>117072</v>
      </c>
      <c r="J572" s="530">
        <v>117072</v>
      </c>
      <c r="K572" s="530">
        <v>117072</v>
      </c>
      <c r="L572" s="530">
        <v>117072</v>
      </c>
      <c r="M572" s="530">
        <v>117072</v>
      </c>
      <c r="N572" s="530">
        <v>117072</v>
      </c>
      <c r="O572" s="530">
        <v>117072</v>
      </c>
      <c r="P572" s="530">
        <v>117072</v>
      </c>
      <c r="Q572" s="530">
        <v>117072</v>
      </c>
      <c r="R572" s="530">
        <v>117072</v>
      </c>
      <c r="S572" s="530">
        <v>117072</v>
      </c>
      <c r="T572" s="530">
        <v>117072</v>
      </c>
      <c r="U572" s="530" t="s">
        <v>60</v>
      </c>
    </row>
    <row r="573" spans="1:21" ht="13.8" x14ac:dyDescent="0.3">
      <c r="A573" s="530" t="str">
        <f t="shared" si="16"/>
        <v>Gwynedd.2022.Employment.Serviced Accommodation</v>
      </c>
      <c r="B573" s="530" t="s">
        <v>219</v>
      </c>
      <c r="C573" s="530" t="str">
        <f t="shared" si="17"/>
        <v>2022.Employment.Serviced Accommodation</v>
      </c>
      <c r="D573" s="530" t="s">
        <v>242</v>
      </c>
      <c r="E573" s="530" t="s">
        <v>20</v>
      </c>
      <c r="F573" s="530" t="s">
        <v>43</v>
      </c>
      <c r="G573" s="530" t="s">
        <v>43</v>
      </c>
      <c r="H573" s="530">
        <v>1480.2393812599717</v>
      </c>
      <c r="I573" s="530">
        <v>1639.2834387191192</v>
      </c>
      <c r="J573" s="530">
        <v>1872.4086768262434</v>
      </c>
      <c r="K573" s="530">
        <v>1951.5551420397396</v>
      </c>
      <c r="L573" s="530">
        <v>2043.2435394976956</v>
      </c>
      <c r="M573" s="530">
        <v>2071.3468620626918</v>
      </c>
      <c r="N573" s="530">
        <v>2663.403232045609</v>
      </c>
      <c r="O573" s="530">
        <v>2717.9008771830431</v>
      </c>
      <c r="P573" s="530">
        <v>2021.8445061020368</v>
      </c>
      <c r="Q573" s="530">
        <v>2055.2311494676828</v>
      </c>
      <c r="R573" s="530">
        <v>1826.2812658667544</v>
      </c>
      <c r="S573" s="530">
        <v>1727.5007124071728</v>
      </c>
      <c r="T573" s="530">
        <v>2005.8532319564802</v>
      </c>
      <c r="U573" s="530" t="s">
        <v>59</v>
      </c>
    </row>
    <row r="574" spans="1:21" ht="13.8" x14ac:dyDescent="0.3">
      <c r="A574" s="530" t="str">
        <f t="shared" si="16"/>
        <v>Gwynedd.2022.Employment.Non-Serviced Accommodation</v>
      </c>
      <c r="B574" s="530" t="s">
        <v>219</v>
      </c>
      <c r="C574" s="530" t="str">
        <f t="shared" si="17"/>
        <v>2022.Employment.Non-Serviced Accommodation</v>
      </c>
      <c r="D574" s="530" t="s">
        <v>242</v>
      </c>
      <c r="E574" s="530" t="s">
        <v>20</v>
      </c>
      <c r="F574" s="530" t="s">
        <v>48</v>
      </c>
      <c r="G574" s="530" t="s">
        <v>48</v>
      </c>
      <c r="H574" s="530">
        <v>6527.0860471340657</v>
      </c>
      <c r="I574" s="530">
        <v>8504.3958891795064</v>
      </c>
      <c r="J574" s="530">
        <v>12328.208710334839</v>
      </c>
      <c r="K574" s="530">
        <v>10293.565218769823</v>
      </c>
      <c r="L574" s="530">
        <v>11839.952335848262</v>
      </c>
      <c r="M574" s="530">
        <v>12503.859279850525</v>
      </c>
      <c r="N574" s="530">
        <v>13594.334676025768</v>
      </c>
      <c r="O574" s="530">
        <v>14459.979467213441</v>
      </c>
      <c r="P574" s="530">
        <v>11832.097814329041</v>
      </c>
      <c r="Q574" s="530">
        <v>11152.063625523788</v>
      </c>
      <c r="R574" s="530">
        <v>7376.4518195449982</v>
      </c>
      <c r="S574" s="530">
        <v>6704.2007208301766</v>
      </c>
      <c r="T574" s="530">
        <v>10593.01630038202</v>
      </c>
      <c r="U574" s="530" t="s">
        <v>59</v>
      </c>
    </row>
    <row r="575" spans="1:21" ht="13.8" x14ac:dyDescent="0.3">
      <c r="A575" s="530" t="str">
        <f t="shared" si="16"/>
        <v>Gwynedd.2022.Employment.SFR</v>
      </c>
      <c r="B575" s="530" t="s">
        <v>219</v>
      </c>
      <c r="C575" s="530" t="str">
        <f t="shared" si="17"/>
        <v>2022.Employment.SFR</v>
      </c>
      <c r="D575" s="530" t="s">
        <v>242</v>
      </c>
      <c r="E575" s="530" t="s">
        <v>20</v>
      </c>
      <c r="F575" s="530" t="s">
        <v>18</v>
      </c>
      <c r="G575" s="530" t="s">
        <v>18</v>
      </c>
      <c r="H575" s="530">
        <v>234.95869632107483</v>
      </c>
      <c r="I575" s="530">
        <v>78.94612196388114</v>
      </c>
      <c r="J575" s="530">
        <v>89.806435038277485</v>
      </c>
      <c r="K575" s="530">
        <v>208.55602792428451</v>
      </c>
      <c r="L575" s="530">
        <v>134.15884837234677</v>
      </c>
      <c r="M575" s="530">
        <v>103.34500015300728</v>
      </c>
      <c r="N575" s="530">
        <v>167.69856046543347</v>
      </c>
      <c r="O575" s="530">
        <v>177.52467975379591</v>
      </c>
      <c r="P575" s="530">
        <v>91.439621985855823</v>
      </c>
      <c r="Q575" s="530">
        <v>91.349979482625187</v>
      </c>
      <c r="R575" s="530">
        <v>71.180416255737171</v>
      </c>
      <c r="S575" s="530">
        <v>206.1167761356964</v>
      </c>
      <c r="T575" s="530">
        <v>137.92343032100135</v>
      </c>
      <c r="U575" s="530" t="s">
        <v>59</v>
      </c>
    </row>
    <row r="576" spans="1:21" ht="13.8" x14ac:dyDescent="0.3">
      <c r="A576" s="530" t="str">
        <f t="shared" si="16"/>
        <v>Gwynedd.2022.Employment.Day Visitor</v>
      </c>
      <c r="B576" s="530" t="s">
        <v>219</v>
      </c>
      <c r="C576" s="530" t="str">
        <f t="shared" si="17"/>
        <v>2022.Employment.Day Visitor</v>
      </c>
      <c r="D576" s="530" t="s">
        <v>242</v>
      </c>
      <c r="E576" s="530" t="s">
        <v>20</v>
      </c>
      <c r="F576" s="530" t="s">
        <v>71</v>
      </c>
      <c r="G576" s="530" t="s">
        <v>71</v>
      </c>
      <c r="H576" s="530">
        <v>243.83502495580095</v>
      </c>
      <c r="I576" s="530">
        <v>412.23694357808694</v>
      </c>
      <c r="J576" s="530">
        <v>1511.6421017292582</v>
      </c>
      <c r="K576" s="530">
        <v>2193.5501476437335</v>
      </c>
      <c r="L576" s="530">
        <v>2034.0475763880959</v>
      </c>
      <c r="M576" s="530">
        <v>2869.4121396404407</v>
      </c>
      <c r="N576" s="530">
        <v>2456.6797981472973</v>
      </c>
      <c r="O576" s="530">
        <v>3478.9435571701388</v>
      </c>
      <c r="P576" s="530">
        <v>1452.4120875308661</v>
      </c>
      <c r="Q576" s="530">
        <v>1189.4526114291843</v>
      </c>
      <c r="R576" s="530">
        <v>414.91660478639443</v>
      </c>
      <c r="S576" s="530">
        <v>309.5638220343854</v>
      </c>
      <c r="T576" s="530">
        <v>1547.2243679194735</v>
      </c>
      <c r="U576" s="530" t="s">
        <v>59</v>
      </c>
    </row>
    <row r="577" spans="1:21" ht="13.8" x14ac:dyDescent="0.3">
      <c r="A577" s="530" t="str">
        <f t="shared" si="16"/>
        <v>Gwynedd.2022.Employment.Direct Employment</v>
      </c>
      <c r="B577" s="530" t="s">
        <v>219</v>
      </c>
      <c r="C577" s="530" t="str">
        <f t="shared" si="17"/>
        <v>2022.Employment.Direct Employment</v>
      </c>
      <c r="D577" s="530" t="s">
        <v>242</v>
      </c>
      <c r="E577" s="530" t="s">
        <v>20</v>
      </c>
      <c r="F577" s="530" t="s">
        <v>55</v>
      </c>
      <c r="G577" s="530" t="s">
        <v>55</v>
      </c>
      <c r="H577" s="530">
        <v>8486.1191496709125</v>
      </c>
      <c r="I577" s="530">
        <v>10634.862393440595</v>
      </c>
      <c r="J577" s="530">
        <v>15802.065923928618</v>
      </c>
      <c r="K577" s="530">
        <v>14647.22653637758</v>
      </c>
      <c r="L577" s="530">
        <v>16051.402300106402</v>
      </c>
      <c r="M577" s="530">
        <v>17547.963281706667</v>
      </c>
      <c r="N577" s="530">
        <v>18882.116266684105</v>
      </c>
      <c r="O577" s="530">
        <v>20834.348581320421</v>
      </c>
      <c r="P577" s="530">
        <v>15397.7940299478</v>
      </c>
      <c r="Q577" s="530">
        <v>14488.097365903281</v>
      </c>
      <c r="R577" s="530">
        <v>9688.8301064538846</v>
      </c>
      <c r="S577" s="530">
        <v>8947.382031407431</v>
      </c>
      <c r="T577" s="530">
        <v>14284.017330578974</v>
      </c>
      <c r="U577" s="530" t="s">
        <v>59</v>
      </c>
    </row>
    <row r="578" spans="1:21" ht="13.8" x14ac:dyDescent="0.3">
      <c r="A578" s="530" t="str">
        <f t="shared" si="16"/>
        <v>Gwynedd.2022.Employment.Indirect Employment</v>
      </c>
      <c r="B578" s="530" t="s">
        <v>219</v>
      </c>
      <c r="C578" s="530" t="str">
        <f t="shared" si="17"/>
        <v>2022.Employment.Indirect Employment</v>
      </c>
      <c r="D578" s="530" t="s">
        <v>242</v>
      </c>
      <c r="E578" s="530" t="s">
        <v>20</v>
      </c>
      <c r="F578" s="530" t="s">
        <v>53</v>
      </c>
      <c r="G578" s="530" t="s">
        <v>53</v>
      </c>
      <c r="H578" s="530">
        <v>1511.0295488058086</v>
      </c>
      <c r="I578" s="530">
        <v>1760.7879787833406</v>
      </c>
      <c r="J578" s="530">
        <v>3725.138834529002</v>
      </c>
      <c r="K578" s="530">
        <v>3420.8272256485184</v>
      </c>
      <c r="L578" s="530">
        <v>3924.0426973400226</v>
      </c>
      <c r="M578" s="530">
        <v>4366.0842195129107</v>
      </c>
      <c r="N578" s="530">
        <v>5282.3611627732953</v>
      </c>
      <c r="O578" s="530">
        <v>5908.8242967152564</v>
      </c>
      <c r="P578" s="530">
        <v>4290.944685251302</v>
      </c>
      <c r="Q578" s="530">
        <v>3435.3296006690848</v>
      </c>
      <c r="R578" s="530">
        <v>2003.32790317899</v>
      </c>
      <c r="S578" s="530">
        <v>1802.6489752761631</v>
      </c>
      <c r="T578" s="530">
        <v>3452.6122607069742</v>
      </c>
      <c r="U578" s="530" t="s">
        <v>59</v>
      </c>
    </row>
    <row r="579" spans="1:21" ht="13.8" x14ac:dyDescent="0.3">
      <c r="A579" s="530" t="str">
        <f t="shared" si="16"/>
        <v>Gwynedd.2022.Employment.Total</v>
      </c>
      <c r="B579" s="530" t="s">
        <v>219</v>
      </c>
      <c r="C579" s="530" t="str">
        <f t="shared" si="17"/>
        <v>2022.Employment.Total</v>
      </c>
      <c r="D579" s="530" t="s">
        <v>242</v>
      </c>
      <c r="E579" s="530" t="s">
        <v>20</v>
      </c>
      <c r="F579" s="530" t="s">
        <v>54</v>
      </c>
      <c r="G579" s="530" t="s">
        <v>54</v>
      </c>
      <c r="H579" s="530">
        <v>9997.1486984767216</v>
      </c>
      <c r="I579" s="530">
        <v>12395.650372223936</v>
      </c>
      <c r="J579" s="530">
        <v>19527.204758457621</v>
      </c>
      <c r="K579" s="530">
        <v>18068.053762026098</v>
      </c>
      <c r="L579" s="530">
        <v>19975.444997446422</v>
      </c>
      <c r="M579" s="530">
        <v>21914.047501219578</v>
      </c>
      <c r="N579" s="530">
        <v>24164.477429457402</v>
      </c>
      <c r="O579" s="530">
        <v>26743.172878035679</v>
      </c>
      <c r="P579" s="530">
        <v>19688.738715199102</v>
      </c>
      <c r="Q579" s="530">
        <v>17923.426966572366</v>
      </c>
      <c r="R579" s="530">
        <v>11692.158009632874</v>
      </c>
      <c r="S579" s="530">
        <v>10750.031006683594</v>
      </c>
      <c r="T579" s="530">
        <v>17736.62959128595</v>
      </c>
      <c r="U579" s="530" t="s">
        <v>59</v>
      </c>
    </row>
    <row r="580" spans="1:21" ht="13.8" x14ac:dyDescent="0.3">
      <c r="A580" s="530" t="str">
        <f t="shared" si="16"/>
        <v>Gwynedd.2022.Employment.Accommodation</v>
      </c>
      <c r="B580" s="530" t="s">
        <v>219</v>
      </c>
      <c r="C580" s="530" t="str">
        <f t="shared" si="17"/>
        <v>2022.Employment.Accommodation</v>
      </c>
      <c r="D580" s="530" t="s">
        <v>242</v>
      </c>
      <c r="E580" s="530" t="s">
        <v>20</v>
      </c>
      <c r="F580" s="530" t="s">
        <v>23</v>
      </c>
      <c r="G580" s="530" t="s">
        <v>23</v>
      </c>
      <c r="H580" s="530">
        <v>5117.8999999999996</v>
      </c>
      <c r="I580" s="530">
        <v>6764.9124649315427</v>
      </c>
      <c r="J580" s="530">
        <v>5897.9431164710313</v>
      </c>
      <c r="K580" s="530">
        <v>5905.3</v>
      </c>
      <c r="L580" s="530">
        <v>5935</v>
      </c>
      <c r="M580" s="530">
        <v>5935</v>
      </c>
      <c r="N580" s="530">
        <v>6313.6508751839438</v>
      </c>
      <c r="O580" s="530">
        <v>6349.2358952545383</v>
      </c>
      <c r="P580" s="530">
        <v>5930.5</v>
      </c>
      <c r="Q580" s="530">
        <v>5880.3</v>
      </c>
      <c r="R580" s="530">
        <v>5249</v>
      </c>
      <c r="S580" s="530">
        <v>5225.3999999999996</v>
      </c>
      <c r="T580" s="530">
        <v>5875.3451959867552</v>
      </c>
      <c r="U580" s="530" t="s">
        <v>59</v>
      </c>
    </row>
    <row r="581" spans="1:21" ht="13.8" x14ac:dyDescent="0.3">
      <c r="A581" s="530" t="str">
        <f t="shared" si="16"/>
        <v>Gwynedd.2022.Employment.Food &amp; Drink</v>
      </c>
      <c r="B581" s="530" t="s">
        <v>219</v>
      </c>
      <c r="C581" s="530" t="str">
        <f t="shared" si="17"/>
        <v>2022.Employment.Food &amp; Drink</v>
      </c>
      <c r="D581" s="530" t="s">
        <v>242</v>
      </c>
      <c r="E581" s="530" t="s">
        <v>20</v>
      </c>
      <c r="F581" s="530" t="s">
        <v>49</v>
      </c>
      <c r="G581" s="530" t="s">
        <v>49</v>
      </c>
      <c r="H581" s="530">
        <v>1374.6185315227683</v>
      </c>
      <c r="I581" s="530">
        <v>1535.5364664097017</v>
      </c>
      <c r="J581" s="530">
        <v>4000.3833246984445</v>
      </c>
      <c r="K581" s="530">
        <v>3506.7307897278693</v>
      </c>
      <c r="L581" s="530">
        <v>4075.3676017897783</v>
      </c>
      <c r="M581" s="530">
        <v>4587.1609726125635</v>
      </c>
      <c r="N581" s="530">
        <v>5140.9875983212933</v>
      </c>
      <c r="O581" s="530">
        <v>5798.4359754419065</v>
      </c>
      <c r="P581" s="530">
        <v>3863.3469533363782</v>
      </c>
      <c r="Q581" s="530">
        <v>3509.4742756060818</v>
      </c>
      <c r="R581" s="530">
        <v>1834.4066127147983</v>
      </c>
      <c r="S581" s="530">
        <v>1571.691601582572</v>
      </c>
      <c r="T581" s="530">
        <v>3399.8450586470121</v>
      </c>
      <c r="U581" s="530" t="s">
        <v>59</v>
      </c>
    </row>
    <row r="582" spans="1:21" ht="13.8" x14ac:dyDescent="0.3">
      <c r="A582" s="530" t="str">
        <f t="shared" si="16"/>
        <v>Gwynedd.2022.Employment.Recreation</v>
      </c>
      <c r="B582" s="530" t="s">
        <v>219</v>
      </c>
      <c r="C582" s="530" t="str">
        <f t="shared" si="17"/>
        <v>2022.Employment.Recreation</v>
      </c>
      <c r="D582" s="530" t="s">
        <v>242</v>
      </c>
      <c r="E582" s="530" t="s">
        <v>20</v>
      </c>
      <c r="F582" s="530" t="s">
        <v>50</v>
      </c>
      <c r="G582" s="530" t="s">
        <v>50</v>
      </c>
      <c r="H582" s="530">
        <v>385.05831832086693</v>
      </c>
      <c r="I582" s="530">
        <v>479.36546628478499</v>
      </c>
      <c r="J582" s="530">
        <v>1592.4930054009947</v>
      </c>
      <c r="K582" s="530">
        <v>1068.8554541643005</v>
      </c>
      <c r="L582" s="530">
        <v>1270.6449627384713</v>
      </c>
      <c r="M582" s="530">
        <v>1527.7819869719422</v>
      </c>
      <c r="N582" s="530">
        <v>1576.8003747904968</v>
      </c>
      <c r="O582" s="530">
        <v>1812.5478283719028</v>
      </c>
      <c r="P582" s="530">
        <v>1242.4040938214268</v>
      </c>
      <c r="Q582" s="530">
        <v>1149.6218798811235</v>
      </c>
      <c r="R582" s="530">
        <v>622.21312876247362</v>
      </c>
      <c r="S582" s="530">
        <v>502.30870223962194</v>
      </c>
      <c r="T582" s="530">
        <v>1102.5079334790339</v>
      </c>
      <c r="U582" s="530" t="s">
        <v>59</v>
      </c>
    </row>
    <row r="583" spans="1:21" ht="13.8" x14ac:dyDescent="0.3">
      <c r="A583" s="530" t="str">
        <f t="shared" si="16"/>
        <v>Gwynedd.2022.Employment.Shopping</v>
      </c>
      <c r="B583" s="530" t="s">
        <v>219</v>
      </c>
      <c r="C583" s="530" t="str">
        <f t="shared" si="17"/>
        <v>2022.Employment.Shopping</v>
      </c>
      <c r="D583" s="530" t="s">
        <v>242</v>
      </c>
      <c r="E583" s="530" t="s">
        <v>20</v>
      </c>
      <c r="F583" s="530" t="s">
        <v>51</v>
      </c>
      <c r="G583" s="530" t="s">
        <v>51</v>
      </c>
      <c r="H583" s="530">
        <v>1400.3622280599873</v>
      </c>
      <c r="I583" s="530">
        <v>1609.2847291704929</v>
      </c>
      <c r="J583" s="530">
        <v>3617.1465787765242</v>
      </c>
      <c r="K583" s="530">
        <v>3578.7013153894786</v>
      </c>
      <c r="L583" s="530">
        <v>4083.9394451858625</v>
      </c>
      <c r="M583" s="530">
        <v>4702.1134772626865</v>
      </c>
      <c r="N583" s="530">
        <v>4993.6423867033664</v>
      </c>
      <c r="O583" s="530">
        <v>5889.6325150749572</v>
      </c>
      <c r="P583" s="530">
        <v>3712.9347171322338</v>
      </c>
      <c r="Q583" s="530">
        <v>3354.2240309637518</v>
      </c>
      <c r="R583" s="530">
        <v>1677.5195511936681</v>
      </c>
      <c r="S583" s="530">
        <v>1398.0279165362822</v>
      </c>
      <c r="T583" s="530">
        <v>3334.7940742874412</v>
      </c>
      <c r="U583" s="530" t="s">
        <v>59</v>
      </c>
    </row>
    <row r="584" spans="1:21" ht="13.8" x14ac:dyDescent="0.3">
      <c r="A584" s="530" t="str">
        <f t="shared" si="16"/>
        <v>Gwynedd.2022.Employment.Transport</v>
      </c>
      <c r="B584" s="530" t="s">
        <v>219</v>
      </c>
      <c r="C584" s="530" t="str">
        <f t="shared" si="17"/>
        <v>2022.Employment.Transport</v>
      </c>
      <c r="D584" s="530" t="s">
        <v>242</v>
      </c>
      <c r="E584" s="530" t="s">
        <v>20</v>
      </c>
      <c r="F584" s="530" t="s">
        <v>52</v>
      </c>
      <c r="G584" s="530" t="s">
        <v>52</v>
      </c>
      <c r="H584" s="530">
        <v>208.1800717672912</v>
      </c>
      <c r="I584" s="530">
        <v>245.76326664407134</v>
      </c>
      <c r="J584" s="530">
        <v>694.09989858162498</v>
      </c>
      <c r="K584" s="530">
        <v>587.63897709593255</v>
      </c>
      <c r="L584" s="530">
        <v>686.45029039228825</v>
      </c>
      <c r="M584" s="530">
        <v>795.90684485947429</v>
      </c>
      <c r="N584" s="530">
        <v>857.03503168500799</v>
      </c>
      <c r="O584" s="530">
        <v>984.49636717711394</v>
      </c>
      <c r="P584" s="530">
        <v>648.60826565776051</v>
      </c>
      <c r="Q584" s="530">
        <v>594.4771794523225</v>
      </c>
      <c r="R584" s="530">
        <v>305.69081378294533</v>
      </c>
      <c r="S584" s="530">
        <v>249.9538110489548</v>
      </c>
      <c r="T584" s="530">
        <v>571.52506817873223</v>
      </c>
      <c r="U584" s="530" t="s">
        <v>59</v>
      </c>
    </row>
    <row r="585" spans="1:21" ht="13.8" x14ac:dyDescent="0.3">
      <c r="A585" s="530" t="str">
        <f t="shared" ref="A585:A894" si="18">B585&amp;"."&amp;D585&amp;"."&amp;E585&amp;"."&amp;F585</f>
        <v>Gwynedd.2022.Visitor Days.Serviced Accommodation</v>
      </c>
      <c r="B585" s="530" t="s">
        <v>219</v>
      </c>
      <c r="C585" s="530" t="str">
        <f t="shared" ref="C585:C894" si="19">D585&amp;"."&amp;E585&amp;"."&amp;F585</f>
        <v>2022.Visitor Days.Serviced Accommodation</v>
      </c>
      <c r="D585" s="530" t="s">
        <v>242</v>
      </c>
      <c r="E585" s="530" t="s">
        <v>171</v>
      </c>
      <c r="F585" s="530" t="s">
        <v>43</v>
      </c>
      <c r="G585" s="530" t="s">
        <v>43</v>
      </c>
      <c r="H585" s="530">
        <v>20.434821961091778</v>
      </c>
      <c r="I585" s="530">
        <v>45.26710530254914</v>
      </c>
      <c r="J585" s="530">
        <v>82.942713906765363</v>
      </c>
      <c r="K585" s="530">
        <v>97.932856262654198</v>
      </c>
      <c r="L585" s="530">
        <v>115.90328400301374</v>
      </c>
      <c r="M585" s="530">
        <v>122.75776815730188</v>
      </c>
      <c r="N585" s="530">
        <v>169.11046921254285</v>
      </c>
      <c r="O585" s="530">
        <v>173.68434125131398</v>
      </c>
      <c r="P585" s="530">
        <v>112.22546647241873</v>
      </c>
      <c r="Q585" s="530">
        <v>120.4434482403947</v>
      </c>
      <c r="R585" s="530">
        <v>83.647259107278188</v>
      </c>
      <c r="S585" s="530">
        <v>62.182722747317825</v>
      </c>
      <c r="T585" s="530">
        <v>1206.5322566246423</v>
      </c>
      <c r="U585" s="530" t="s">
        <v>61</v>
      </c>
    </row>
    <row r="586" spans="1:21" ht="13.8" x14ac:dyDescent="0.3">
      <c r="A586" s="530" t="str">
        <f t="shared" si="18"/>
        <v>Gwynedd.2022.Visitor Days.Non-Serviced Accommodation</v>
      </c>
      <c r="B586" s="530" t="s">
        <v>219</v>
      </c>
      <c r="C586" s="530" t="str">
        <f t="shared" si="19"/>
        <v>2022.Visitor Days.Non-Serviced Accommodation</v>
      </c>
      <c r="D586" s="530" t="s">
        <v>242</v>
      </c>
      <c r="E586" s="530" t="s">
        <v>171</v>
      </c>
      <c r="F586" s="530" t="s">
        <v>48</v>
      </c>
      <c r="G586" s="530" t="s">
        <v>48</v>
      </c>
      <c r="H586" s="530">
        <v>684.89864445846808</v>
      </c>
      <c r="I586" s="530">
        <v>757.71328490276164</v>
      </c>
      <c r="J586" s="530">
        <v>1829.7364289182833</v>
      </c>
      <c r="K586" s="530">
        <v>1507.7025015043182</v>
      </c>
      <c r="L586" s="530">
        <v>1872.8900679128724</v>
      </c>
      <c r="M586" s="530">
        <v>2012.422556643726</v>
      </c>
      <c r="N586" s="530">
        <v>2341.6726078822326</v>
      </c>
      <c r="O586" s="530">
        <v>2539.9581732590786</v>
      </c>
      <c r="P586" s="530">
        <v>1871.0118438487382</v>
      </c>
      <c r="Q586" s="530">
        <v>1691.8681215688857</v>
      </c>
      <c r="R586" s="530">
        <v>905.14038360512427</v>
      </c>
      <c r="S586" s="530">
        <v>759.48875071994848</v>
      </c>
      <c r="T586" s="530">
        <v>18774.503365224438</v>
      </c>
      <c r="U586" s="530" t="s">
        <v>61</v>
      </c>
    </row>
    <row r="587" spans="1:21" ht="13.8" x14ac:dyDescent="0.3">
      <c r="A587" s="530" t="str">
        <f t="shared" si="18"/>
        <v>Gwynedd.2022.Visitor Days.SFR</v>
      </c>
      <c r="B587" s="530" t="s">
        <v>219</v>
      </c>
      <c r="C587" s="530" t="str">
        <f t="shared" si="19"/>
        <v>2022.Visitor Days.SFR</v>
      </c>
      <c r="D587" s="530" t="s">
        <v>242</v>
      </c>
      <c r="E587" s="530" t="s">
        <v>171</v>
      </c>
      <c r="F587" s="530" t="s">
        <v>18</v>
      </c>
      <c r="G587" s="530" t="s">
        <v>18</v>
      </c>
      <c r="H587" s="530">
        <v>59.86636363636363</v>
      </c>
      <c r="I587" s="530">
        <v>20.11509818181818</v>
      </c>
      <c r="J587" s="530">
        <v>22.882254545454547</v>
      </c>
      <c r="K587" s="530">
        <v>54.598123636363631</v>
      </c>
      <c r="L587" s="530">
        <v>35.121600000000001</v>
      </c>
      <c r="M587" s="530">
        <v>27.054807054545453</v>
      </c>
      <c r="N587" s="530">
        <v>43.902000000000001</v>
      </c>
      <c r="O587" s="530">
        <v>46.474391127272717</v>
      </c>
      <c r="P587" s="530">
        <v>23.938084341818183</v>
      </c>
      <c r="Q587" s="530">
        <v>23.914616727272726</v>
      </c>
      <c r="R587" s="530">
        <v>18.634403454545453</v>
      </c>
      <c r="S587" s="530">
        <v>53.959549090909093</v>
      </c>
      <c r="T587" s="530">
        <v>430.46129179636364</v>
      </c>
      <c r="U587" s="530" t="s">
        <v>61</v>
      </c>
    </row>
    <row r="588" spans="1:21" ht="13.8" x14ac:dyDescent="0.3">
      <c r="A588" s="530" t="str">
        <f t="shared" si="18"/>
        <v>Gwynedd.2022.Visitor Days.Day Visitor</v>
      </c>
      <c r="B588" s="530" t="s">
        <v>219</v>
      </c>
      <c r="C588" s="530" t="str">
        <f t="shared" si="19"/>
        <v>2022.Visitor Days.Day Visitor</v>
      </c>
      <c r="D588" s="530" t="s">
        <v>242</v>
      </c>
      <c r="E588" s="530" t="s">
        <v>171</v>
      </c>
      <c r="F588" s="530" t="s">
        <v>71</v>
      </c>
      <c r="G588" s="530" t="s">
        <v>71</v>
      </c>
      <c r="H588" s="530">
        <v>48.695462239128972</v>
      </c>
      <c r="I588" s="530">
        <v>82.326435766229338</v>
      </c>
      <c r="J588" s="530">
        <v>301.88489490866897</v>
      </c>
      <c r="K588" s="530">
        <v>446.21603155377841</v>
      </c>
      <c r="L588" s="530">
        <v>413.76972325088121</v>
      </c>
      <c r="M588" s="530">
        <v>583.70112906602549</v>
      </c>
      <c r="N588" s="530">
        <v>499.74235214323716</v>
      </c>
      <c r="O588" s="530">
        <v>707.69313833447507</v>
      </c>
      <c r="P588" s="530">
        <v>295.45235543163977</v>
      </c>
      <c r="Q588" s="530">
        <v>241.9606520340248</v>
      </c>
      <c r="R588" s="530">
        <v>84.403103805230359</v>
      </c>
      <c r="S588" s="530">
        <v>62.972045717387637</v>
      </c>
      <c r="T588" s="530">
        <v>3768.8173242507069</v>
      </c>
      <c r="U588" s="530" t="s">
        <v>61</v>
      </c>
    </row>
    <row r="589" spans="1:21" ht="13.8" x14ac:dyDescent="0.3">
      <c r="A589" s="530" t="str">
        <f t="shared" si="18"/>
        <v>Gwynedd.2022.Visitor Days.Total</v>
      </c>
      <c r="B589" s="530" t="s">
        <v>219</v>
      </c>
      <c r="C589" s="530" t="str">
        <f t="shared" si="19"/>
        <v>2022.Visitor Days.Total</v>
      </c>
      <c r="D589" s="530" t="s">
        <v>242</v>
      </c>
      <c r="E589" s="530" t="s">
        <v>171</v>
      </c>
      <c r="F589" s="530" t="s">
        <v>54</v>
      </c>
      <c r="G589" s="530" t="s">
        <v>54</v>
      </c>
      <c r="H589" s="530">
        <v>813.89529229505251</v>
      </c>
      <c r="I589" s="530">
        <v>905.4219241533583</v>
      </c>
      <c r="J589" s="530">
        <v>2237.4462922791722</v>
      </c>
      <c r="K589" s="530">
        <v>2106.4495129571146</v>
      </c>
      <c r="L589" s="530">
        <v>2437.6846751667672</v>
      </c>
      <c r="M589" s="530">
        <v>2745.9362609215987</v>
      </c>
      <c r="N589" s="530">
        <v>3054.4274292380123</v>
      </c>
      <c r="O589" s="530">
        <v>3467.8100439721402</v>
      </c>
      <c r="P589" s="530">
        <v>2302.6277500946148</v>
      </c>
      <c r="Q589" s="530">
        <v>2078.1868385705779</v>
      </c>
      <c r="R589" s="530">
        <v>1091.8251499721782</v>
      </c>
      <c r="S589" s="530">
        <v>938.60306827556303</v>
      </c>
      <c r="T589" s="530">
        <v>24180.314237896153</v>
      </c>
      <c r="U589" s="530" t="s">
        <v>61</v>
      </c>
    </row>
    <row r="590" spans="1:21" ht="13.8" x14ac:dyDescent="0.3">
      <c r="A590" s="530" t="str">
        <f t="shared" si="18"/>
        <v>Gwynedd.2022.Visitor Numbers.Serviced Accommodation</v>
      </c>
      <c r="B590" s="530" t="s">
        <v>219</v>
      </c>
      <c r="C590" s="530" t="str">
        <f t="shared" si="19"/>
        <v>2022.Visitor Numbers.Serviced Accommodation</v>
      </c>
      <c r="D590" s="530" t="s">
        <v>242</v>
      </c>
      <c r="E590" s="530" t="s">
        <v>172</v>
      </c>
      <c r="F590" s="530" t="s">
        <v>43</v>
      </c>
      <c r="G590" s="530" t="s">
        <v>43</v>
      </c>
      <c r="H590" s="530">
        <v>13.479031487465193</v>
      </c>
      <c r="I590" s="530">
        <v>29.426035474521576</v>
      </c>
      <c r="J590" s="530">
        <v>40.543097767738665</v>
      </c>
      <c r="K590" s="530">
        <v>54.009610358888224</v>
      </c>
      <c r="L590" s="530">
        <v>61.556811208551778</v>
      </c>
      <c r="M590" s="530">
        <v>69.707504505213763</v>
      </c>
      <c r="N590" s="530">
        <v>96.342172512145552</v>
      </c>
      <c r="O590" s="530">
        <v>98.461112321109113</v>
      </c>
      <c r="P590" s="530">
        <v>57.114742528830931</v>
      </c>
      <c r="Q590" s="530">
        <v>69.083171319025652</v>
      </c>
      <c r="R590" s="530">
        <v>49.174261662196216</v>
      </c>
      <c r="S590" s="530">
        <v>37.712107957250055</v>
      </c>
      <c r="T590" s="530">
        <v>676.60965910293658</v>
      </c>
      <c r="U590" s="530" t="s">
        <v>61</v>
      </c>
    </row>
    <row r="591" spans="1:21" ht="13.8" x14ac:dyDescent="0.3">
      <c r="A591" s="530" t="str">
        <f t="shared" si="18"/>
        <v>Gwynedd.2022.Visitor Numbers.Non-Serviced Accommodation</v>
      </c>
      <c r="B591" s="530" t="s">
        <v>219</v>
      </c>
      <c r="C591" s="530" t="str">
        <f t="shared" si="19"/>
        <v>2022.Visitor Numbers.Non-Serviced Accommodation</v>
      </c>
      <c r="D591" s="530" t="s">
        <v>242</v>
      </c>
      <c r="E591" s="530" t="s">
        <v>172</v>
      </c>
      <c r="F591" s="530" t="s">
        <v>48</v>
      </c>
      <c r="G591" s="530" t="s">
        <v>48</v>
      </c>
      <c r="H591" s="530">
        <v>200.99516360151932</v>
      </c>
      <c r="I591" s="530">
        <v>190.02211401925135</v>
      </c>
      <c r="J591" s="530">
        <v>390.29598881522105</v>
      </c>
      <c r="K591" s="530">
        <v>253.28635790881773</v>
      </c>
      <c r="L591" s="530">
        <v>289.22735022676324</v>
      </c>
      <c r="M591" s="530">
        <v>306.81682857366621</v>
      </c>
      <c r="N591" s="530">
        <v>347.07649879611813</v>
      </c>
      <c r="O591" s="530">
        <v>349.40917067966456</v>
      </c>
      <c r="P591" s="530">
        <v>296.63018493025965</v>
      </c>
      <c r="Q591" s="530">
        <v>265.4223382586872</v>
      </c>
      <c r="R591" s="530">
        <v>215.47669959312333</v>
      </c>
      <c r="S591" s="530">
        <v>151.40581383226302</v>
      </c>
      <c r="T591" s="530">
        <v>3256.0645092353548</v>
      </c>
      <c r="U591" s="530" t="s">
        <v>61</v>
      </c>
    </row>
    <row r="592" spans="1:21" ht="13.8" x14ac:dyDescent="0.3">
      <c r="A592" s="530" t="str">
        <f t="shared" si="18"/>
        <v>Gwynedd.2022.Visitor Numbers.SFR</v>
      </c>
      <c r="B592" s="530" t="s">
        <v>219</v>
      </c>
      <c r="C592" s="530" t="str">
        <f t="shared" si="19"/>
        <v>2022.Visitor Numbers.SFR</v>
      </c>
      <c r="D592" s="530" t="s">
        <v>242</v>
      </c>
      <c r="E592" s="530" t="s">
        <v>172</v>
      </c>
      <c r="F592" s="530" t="s">
        <v>18</v>
      </c>
      <c r="G592" s="530" t="s">
        <v>18</v>
      </c>
      <c r="H592" s="530">
        <v>23.946545454545451</v>
      </c>
      <c r="I592" s="530">
        <v>9.5786181818181806</v>
      </c>
      <c r="J592" s="530">
        <v>10.642909090909091</v>
      </c>
      <c r="K592" s="530">
        <v>20.221527272727268</v>
      </c>
      <c r="L592" s="530">
        <v>15.964363636363636</v>
      </c>
      <c r="M592" s="530">
        <v>12.883241454545454</v>
      </c>
      <c r="N592" s="530">
        <v>17.5608</v>
      </c>
      <c r="O592" s="530">
        <v>17.874765818181814</v>
      </c>
      <c r="P592" s="530">
        <v>11.031375272727274</v>
      </c>
      <c r="Q592" s="530">
        <v>11.175054545454545</v>
      </c>
      <c r="R592" s="530">
        <v>9.1795090909090913</v>
      </c>
      <c r="S592" s="530">
        <v>20.753672727272725</v>
      </c>
      <c r="T592" s="530">
        <v>180.81238254545451</v>
      </c>
      <c r="U592" s="530" t="s">
        <v>61</v>
      </c>
    </row>
    <row r="593" spans="1:21" ht="13.8" x14ac:dyDescent="0.3">
      <c r="A593" s="530" t="str">
        <f t="shared" si="18"/>
        <v>Gwynedd.2022.Visitor Numbers.Day Visitor</v>
      </c>
      <c r="B593" s="530" t="s">
        <v>219</v>
      </c>
      <c r="C593" s="530" t="str">
        <f t="shared" si="19"/>
        <v>2022.Visitor Numbers.Day Visitor</v>
      </c>
      <c r="D593" s="530" t="s">
        <v>242</v>
      </c>
      <c r="E593" s="530" t="s">
        <v>172</v>
      </c>
      <c r="F593" s="530" t="s">
        <v>71</v>
      </c>
      <c r="G593" s="530" t="s">
        <v>71</v>
      </c>
      <c r="H593" s="530">
        <v>48.695462239128972</v>
      </c>
      <c r="I593" s="530">
        <v>82.326435766229338</v>
      </c>
      <c r="J593" s="530">
        <v>301.88489490866897</v>
      </c>
      <c r="K593" s="530">
        <v>446.21603155377841</v>
      </c>
      <c r="L593" s="530">
        <v>413.76972325088121</v>
      </c>
      <c r="M593" s="530">
        <v>583.70112906602549</v>
      </c>
      <c r="N593" s="530">
        <v>499.74235214323716</v>
      </c>
      <c r="O593" s="530">
        <v>707.69313833447507</v>
      </c>
      <c r="P593" s="530">
        <v>295.45235543163977</v>
      </c>
      <c r="Q593" s="530">
        <v>241.9606520340248</v>
      </c>
      <c r="R593" s="530">
        <v>84.403103805230359</v>
      </c>
      <c r="S593" s="530">
        <v>62.972045717387637</v>
      </c>
      <c r="T593" s="530">
        <v>3768.8173242507069</v>
      </c>
      <c r="U593" s="530" t="s">
        <v>61</v>
      </c>
    </row>
    <row r="594" spans="1:21" ht="13.8" x14ac:dyDescent="0.3">
      <c r="A594" s="530" t="str">
        <f t="shared" si="18"/>
        <v>Gwynedd.2022.Visitor Numbers.Total</v>
      </c>
      <c r="B594" s="530" t="s">
        <v>219</v>
      </c>
      <c r="C594" s="530" t="str">
        <f t="shared" si="19"/>
        <v>2022.Visitor Numbers.Total</v>
      </c>
      <c r="D594" s="530" t="s">
        <v>242</v>
      </c>
      <c r="E594" s="530" t="s">
        <v>172</v>
      </c>
      <c r="F594" s="530" t="s">
        <v>54</v>
      </c>
      <c r="G594" s="530" t="s">
        <v>54</v>
      </c>
      <c r="H594" s="530">
        <v>287.11620278265895</v>
      </c>
      <c r="I594" s="530">
        <v>311.35320344182043</v>
      </c>
      <c r="J594" s="530">
        <v>743.36689058253774</v>
      </c>
      <c r="K594" s="530">
        <v>773.73352709421169</v>
      </c>
      <c r="L594" s="530">
        <v>780.51824832255988</v>
      </c>
      <c r="M594" s="530">
        <v>973.10870359945091</v>
      </c>
      <c r="N594" s="530">
        <v>960.72182345150077</v>
      </c>
      <c r="O594" s="530">
        <v>1173.4381871534306</v>
      </c>
      <c r="P594" s="530">
        <v>660.22865816345757</v>
      </c>
      <c r="Q594" s="530">
        <v>587.64121615719228</v>
      </c>
      <c r="R594" s="530">
        <v>358.23357415145904</v>
      </c>
      <c r="S594" s="530">
        <v>272.84364023417345</v>
      </c>
      <c r="T594" s="530">
        <v>7882.3038751344529</v>
      </c>
      <c r="U594" s="530" t="s">
        <v>61</v>
      </c>
    </row>
    <row r="595" spans="1:21" ht="13.8" x14ac:dyDescent="0.3">
      <c r="A595" s="530" t="str">
        <f t="shared" si="18"/>
        <v>Gwynedd.2022.Vehicle Days.Serviced Accommodation</v>
      </c>
      <c r="B595" s="530" t="s">
        <v>219</v>
      </c>
      <c r="C595" s="530" t="str">
        <f t="shared" si="19"/>
        <v>2022.Vehicle Days.Serviced Accommodation</v>
      </c>
      <c r="D595" s="530" t="s">
        <v>242</v>
      </c>
      <c r="E595" s="530" t="s">
        <v>21</v>
      </c>
      <c r="F595" s="530" t="s">
        <v>43</v>
      </c>
      <c r="G595" s="530" t="s">
        <v>43</v>
      </c>
      <c r="H595" s="530">
        <v>5.2051600995500769</v>
      </c>
      <c r="I595" s="530">
        <v>15.46937385647454</v>
      </c>
      <c r="J595" s="530">
        <v>29.580221855076616</v>
      </c>
      <c r="K595" s="530">
        <v>25.341607036209311</v>
      </c>
      <c r="L595" s="530">
        <v>32.842292812820467</v>
      </c>
      <c r="M595" s="530">
        <v>33.863756565891279</v>
      </c>
      <c r="N595" s="530">
        <v>43.733236241548298</v>
      </c>
      <c r="O595" s="530">
        <v>44.920701145646547</v>
      </c>
      <c r="P595" s="530">
        <v>29.029989892057653</v>
      </c>
      <c r="Q595" s="530">
        <v>35.346468323420837</v>
      </c>
      <c r="R595" s="530">
        <v>24.723597583720313</v>
      </c>
      <c r="S595" s="530">
        <v>16.099871700172237</v>
      </c>
      <c r="T595" s="530">
        <v>336.15627711258816</v>
      </c>
      <c r="U595" s="530" t="s">
        <v>61</v>
      </c>
    </row>
    <row r="596" spans="1:21" ht="13.8" x14ac:dyDescent="0.3">
      <c r="A596" s="530" t="str">
        <f t="shared" si="18"/>
        <v>Gwynedd.2022.Vehicle Days.Non-Serviced Accommodation</v>
      </c>
      <c r="B596" s="530" t="s">
        <v>219</v>
      </c>
      <c r="C596" s="530" t="str">
        <f t="shared" si="19"/>
        <v>2022.Vehicle Days.Non-Serviced Accommodation</v>
      </c>
      <c r="D596" s="530" t="s">
        <v>242</v>
      </c>
      <c r="E596" s="530" t="s">
        <v>21</v>
      </c>
      <c r="F596" s="530" t="s">
        <v>48</v>
      </c>
      <c r="G596" s="530" t="s">
        <v>48</v>
      </c>
      <c r="H596" s="530">
        <v>182.63319149778295</v>
      </c>
      <c r="I596" s="530">
        <v>240.75755514947494</v>
      </c>
      <c r="J596" s="530">
        <v>511.89148723696763</v>
      </c>
      <c r="K596" s="530">
        <v>384.38202195080112</v>
      </c>
      <c r="L596" s="530">
        <v>505.01136480874681</v>
      </c>
      <c r="M596" s="530">
        <v>548.04121466534662</v>
      </c>
      <c r="N596" s="530">
        <v>595.10842607772008</v>
      </c>
      <c r="O596" s="530">
        <v>639.14360419567038</v>
      </c>
      <c r="P596" s="530">
        <v>505.11210655460241</v>
      </c>
      <c r="Q596" s="530">
        <v>443.35603113717366</v>
      </c>
      <c r="R596" s="530">
        <v>244.443974919483</v>
      </c>
      <c r="S596" s="530">
        <v>179.37843292137103</v>
      </c>
      <c r="T596" s="530">
        <v>4979.2594111151411</v>
      </c>
      <c r="U596" s="530" t="s">
        <v>61</v>
      </c>
    </row>
    <row r="597" spans="1:21" ht="13.8" x14ac:dyDescent="0.3">
      <c r="A597" s="530" t="str">
        <f t="shared" si="18"/>
        <v>Gwynedd.2022.Vehicle Days.SFR</v>
      </c>
      <c r="B597" s="530" t="s">
        <v>219</v>
      </c>
      <c r="C597" s="530" t="str">
        <f t="shared" si="19"/>
        <v>2022.Vehicle Days.SFR</v>
      </c>
      <c r="D597" s="530" t="s">
        <v>242</v>
      </c>
      <c r="E597" s="530" t="s">
        <v>21</v>
      </c>
      <c r="F597" s="530" t="s">
        <v>18</v>
      </c>
      <c r="G597" s="530" t="s">
        <v>18</v>
      </c>
      <c r="H597" s="530">
        <v>18.758127272727268</v>
      </c>
      <c r="I597" s="530">
        <v>6.3027307636363625</v>
      </c>
      <c r="J597" s="530">
        <v>7.1697730909090911</v>
      </c>
      <c r="K597" s="530">
        <v>17.107412072727268</v>
      </c>
      <c r="L597" s="530">
        <v>11.004768</v>
      </c>
      <c r="M597" s="530">
        <v>8.4771728770909078</v>
      </c>
      <c r="N597" s="530">
        <v>13.75596</v>
      </c>
      <c r="O597" s="530">
        <v>14.561975886545451</v>
      </c>
      <c r="P597" s="530">
        <v>7.500599760436363</v>
      </c>
      <c r="Q597" s="530">
        <v>7.493246574545454</v>
      </c>
      <c r="R597" s="530">
        <v>5.8387797490909081</v>
      </c>
      <c r="S597" s="530">
        <v>16.907325381818183</v>
      </c>
      <c r="T597" s="530">
        <v>134.87787142952726</v>
      </c>
      <c r="U597" s="530" t="s">
        <v>61</v>
      </c>
    </row>
    <row r="598" spans="1:21" ht="13.8" x14ac:dyDescent="0.3">
      <c r="A598" s="530" t="str">
        <f t="shared" si="18"/>
        <v>Gwynedd.2022.Vehicle Days.Day Visitor</v>
      </c>
      <c r="B598" s="530" t="s">
        <v>219</v>
      </c>
      <c r="C598" s="530" t="str">
        <f t="shared" si="19"/>
        <v>2022.Vehicle Days.Day Visitor</v>
      </c>
      <c r="D598" s="530" t="s">
        <v>242</v>
      </c>
      <c r="E598" s="530" t="s">
        <v>21</v>
      </c>
      <c r="F598" s="530" t="s">
        <v>71</v>
      </c>
      <c r="G598" s="530" t="s">
        <v>71</v>
      </c>
      <c r="H598" s="530">
        <v>10.713001692608374</v>
      </c>
      <c r="I598" s="530">
        <v>20.699218135509092</v>
      </c>
      <c r="J598" s="530">
        <v>75.902487862751059</v>
      </c>
      <c r="K598" s="530">
        <v>98.167526941831255</v>
      </c>
      <c r="L598" s="530">
        <v>91.029339115193864</v>
      </c>
      <c r="M598" s="530">
        <v>146.75914102231499</v>
      </c>
      <c r="N598" s="530">
        <v>109.94331747151217</v>
      </c>
      <c r="O598" s="530">
        <v>155.69249043358451</v>
      </c>
      <c r="P598" s="530">
        <v>64.999518194960757</v>
      </c>
      <c r="Q598" s="530">
        <v>60.835821082840518</v>
      </c>
      <c r="R598" s="530">
        <v>21.221351813886489</v>
      </c>
      <c r="S598" s="530">
        <v>13.85385005782528</v>
      </c>
      <c r="T598" s="530">
        <v>869.81706382481832</v>
      </c>
      <c r="U598" s="530" t="s">
        <v>61</v>
      </c>
    </row>
    <row r="599" spans="1:21" ht="13.8" x14ac:dyDescent="0.3">
      <c r="A599" s="530" t="str">
        <f t="shared" si="18"/>
        <v>Gwynedd.2022.Vehicle Days.Total</v>
      </c>
      <c r="B599" s="530" t="s">
        <v>219</v>
      </c>
      <c r="C599" s="530" t="str">
        <f t="shared" si="19"/>
        <v>2022.Vehicle Days.Total</v>
      </c>
      <c r="D599" s="530" t="s">
        <v>242</v>
      </c>
      <c r="E599" s="530" t="s">
        <v>21</v>
      </c>
      <c r="F599" s="530" t="s">
        <v>54</v>
      </c>
      <c r="G599" s="530" t="s">
        <v>54</v>
      </c>
      <c r="H599" s="530">
        <v>217.30948056266868</v>
      </c>
      <c r="I599" s="530">
        <v>283.22887790509498</v>
      </c>
      <c r="J599" s="530">
        <v>624.54397004570433</v>
      </c>
      <c r="K599" s="530">
        <v>524.99856800156897</v>
      </c>
      <c r="L599" s="530">
        <v>639.88776473676126</v>
      </c>
      <c r="M599" s="530">
        <v>737.14128513064384</v>
      </c>
      <c r="N599" s="530">
        <v>762.5409397907805</v>
      </c>
      <c r="O599" s="530">
        <v>854.31877166144682</v>
      </c>
      <c r="P599" s="530">
        <v>606.64221440205711</v>
      </c>
      <c r="Q599" s="530">
        <v>547.03156711798044</v>
      </c>
      <c r="R599" s="530">
        <v>296.22770406618071</v>
      </c>
      <c r="S599" s="530">
        <v>226.2394800611867</v>
      </c>
      <c r="T599" s="530">
        <v>6320.1106234820745</v>
      </c>
      <c r="U599" s="530" t="s">
        <v>61</v>
      </c>
    </row>
    <row r="600" spans="1:21" ht="13.8" x14ac:dyDescent="0.3">
      <c r="A600" s="530" t="str">
        <f t="shared" si="18"/>
        <v>Gwynedd.2022.Vehicle Numbers.Serviced Accommodation</v>
      </c>
      <c r="B600" s="530" t="s">
        <v>219</v>
      </c>
      <c r="C600" s="530" t="str">
        <f t="shared" si="19"/>
        <v>2022.Vehicle Numbers.Serviced Accommodation</v>
      </c>
      <c r="D600" s="530" t="s">
        <v>242</v>
      </c>
      <c r="E600" s="530" t="s">
        <v>22</v>
      </c>
      <c r="F600" s="530" t="s">
        <v>43</v>
      </c>
      <c r="G600" s="530" t="s">
        <v>43</v>
      </c>
      <c r="H600" s="530">
        <v>3.4205896611872113</v>
      </c>
      <c r="I600" s="530">
        <v>10.044775734331257</v>
      </c>
      <c r="J600" s="530">
        <v>14.461000852628155</v>
      </c>
      <c r="K600" s="530">
        <v>13.975312253266061</v>
      </c>
      <c r="L600" s="530">
        <v>17.422661436830957</v>
      </c>
      <c r="M600" s="530">
        <v>19.222607183973437</v>
      </c>
      <c r="N600" s="530">
        <v>24.918139434428483</v>
      </c>
      <c r="O600" s="530">
        <v>25.475032582596221</v>
      </c>
      <c r="P600" s="530">
        <v>14.775517362110433</v>
      </c>
      <c r="Q600" s="530">
        <v>20.323544063278298</v>
      </c>
      <c r="R600" s="530">
        <v>14.364506113739589</v>
      </c>
      <c r="S600" s="530">
        <v>9.7675723943681305</v>
      </c>
      <c r="T600" s="530">
        <v>188.17125907273822</v>
      </c>
      <c r="U600" s="530" t="s">
        <v>61</v>
      </c>
    </row>
    <row r="601" spans="1:21" ht="13.8" x14ac:dyDescent="0.3">
      <c r="A601" s="530" t="str">
        <f t="shared" si="18"/>
        <v>Gwynedd.2022.Vehicle Numbers.Non-Serviced Accommodation</v>
      </c>
      <c r="B601" s="530" t="s">
        <v>219</v>
      </c>
      <c r="C601" s="530" t="str">
        <f t="shared" si="19"/>
        <v>2022.Vehicle Numbers.Non-Serviced Accommodation</v>
      </c>
      <c r="D601" s="530" t="s">
        <v>242</v>
      </c>
      <c r="E601" s="530" t="s">
        <v>22</v>
      </c>
      <c r="F601" s="530" t="s">
        <v>48</v>
      </c>
      <c r="G601" s="530" t="s">
        <v>48</v>
      </c>
      <c r="H601" s="530">
        <v>53.590362456952654</v>
      </c>
      <c r="I601" s="530">
        <v>60.401276386780445</v>
      </c>
      <c r="J601" s="530">
        <v>109.28268867672932</v>
      </c>
      <c r="K601" s="530">
        <v>64.383096810140529</v>
      </c>
      <c r="L601" s="530">
        <v>78.349079220684331</v>
      </c>
      <c r="M601" s="530">
        <v>83.895348534313797</v>
      </c>
      <c r="N601" s="530">
        <v>87.924921594796345</v>
      </c>
      <c r="O601" s="530">
        <v>87.456430880028336</v>
      </c>
      <c r="P601" s="530">
        <v>80.588908400727121</v>
      </c>
      <c r="Q601" s="530">
        <v>69.451376829649462</v>
      </c>
      <c r="R601" s="530">
        <v>58.350922852356646</v>
      </c>
      <c r="S601" s="530">
        <v>35.437200721401382</v>
      </c>
      <c r="T601" s="530">
        <v>869.11161336456041</v>
      </c>
      <c r="U601" s="530" t="s">
        <v>61</v>
      </c>
    </row>
    <row r="602" spans="1:21" ht="13.8" x14ac:dyDescent="0.3">
      <c r="A602" s="530" t="str">
        <f t="shared" si="18"/>
        <v>Gwynedd.2022.Vehicle Numbers.SFR</v>
      </c>
      <c r="B602" s="530" t="s">
        <v>219</v>
      </c>
      <c r="C602" s="530" t="str">
        <f t="shared" si="19"/>
        <v>2022.Vehicle Numbers.SFR</v>
      </c>
      <c r="D602" s="530" t="s">
        <v>242</v>
      </c>
      <c r="E602" s="530" t="s">
        <v>22</v>
      </c>
      <c r="F602" s="530" t="s">
        <v>18</v>
      </c>
      <c r="G602" s="530" t="s">
        <v>18</v>
      </c>
      <c r="H602" s="530">
        <v>7.5032509090909079</v>
      </c>
      <c r="I602" s="530">
        <v>3.0013003636363629</v>
      </c>
      <c r="J602" s="530">
        <v>3.3347781818181819</v>
      </c>
      <c r="K602" s="530">
        <v>6.3360785454545434</v>
      </c>
      <c r="L602" s="530">
        <v>5.0021672727272728</v>
      </c>
      <c r="M602" s="530">
        <v>4.036748989090909</v>
      </c>
      <c r="N602" s="530">
        <v>5.5023840000000002</v>
      </c>
      <c r="O602" s="530">
        <v>5.6007599563636346</v>
      </c>
      <c r="P602" s="530">
        <v>3.4564975854545459</v>
      </c>
      <c r="Q602" s="530">
        <v>3.5015170909090907</v>
      </c>
      <c r="R602" s="530">
        <v>2.8762461818181819</v>
      </c>
      <c r="S602" s="530">
        <v>6.5028174545454531</v>
      </c>
      <c r="T602" s="530">
        <v>56.65454653090908</v>
      </c>
      <c r="U602" s="530" t="s">
        <v>61</v>
      </c>
    </row>
    <row r="603" spans="1:21" ht="13.8" x14ac:dyDescent="0.3">
      <c r="A603" s="530" t="str">
        <f t="shared" si="18"/>
        <v>Gwynedd.2022.Vehicle Numbers.Day Visitor</v>
      </c>
      <c r="B603" s="530" t="s">
        <v>219</v>
      </c>
      <c r="C603" s="530" t="str">
        <f t="shared" si="19"/>
        <v>2022.Vehicle Numbers.Day Visitor</v>
      </c>
      <c r="D603" s="530" t="s">
        <v>242</v>
      </c>
      <c r="E603" s="530" t="s">
        <v>22</v>
      </c>
      <c r="F603" s="530" t="s">
        <v>71</v>
      </c>
      <c r="G603" s="530" t="s">
        <v>71</v>
      </c>
      <c r="H603" s="530">
        <v>10.713001692608374</v>
      </c>
      <c r="I603" s="530">
        <v>20.699218135509092</v>
      </c>
      <c r="J603" s="530">
        <v>75.902487862751059</v>
      </c>
      <c r="K603" s="530">
        <v>98.167526941831255</v>
      </c>
      <c r="L603" s="530">
        <v>91.029339115193864</v>
      </c>
      <c r="M603" s="530">
        <v>146.75914102231499</v>
      </c>
      <c r="N603" s="530">
        <v>109.94331747151217</v>
      </c>
      <c r="O603" s="530">
        <v>155.69249043358451</v>
      </c>
      <c r="P603" s="530">
        <v>64.999518194960757</v>
      </c>
      <c r="Q603" s="530">
        <v>60.835821082840518</v>
      </c>
      <c r="R603" s="530">
        <v>21.221351813886489</v>
      </c>
      <c r="S603" s="530">
        <v>13.85385005782528</v>
      </c>
      <c r="T603" s="530">
        <v>869.81706382481832</v>
      </c>
      <c r="U603" s="530" t="s">
        <v>61</v>
      </c>
    </row>
    <row r="604" spans="1:21" ht="13.8" x14ac:dyDescent="0.3">
      <c r="A604" s="530" t="str">
        <f t="shared" si="18"/>
        <v>Gwynedd.2022.Vehicle Numbers.Total</v>
      </c>
      <c r="B604" s="530" t="s">
        <v>219</v>
      </c>
      <c r="C604" s="530" t="str">
        <f t="shared" si="19"/>
        <v>2022.Vehicle Numbers.Total</v>
      </c>
      <c r="D604" s="530" t="s">
        <v>242</v>
      </c>
      <c r="E604" s="530" t="s">
        <v>22</v>
      </c>
      <c r="F604" s="530" t="s">
        <v>54</v>
      </c>
      <c r="G604" s="530" t="s">
        <v>54</v>
      </c>
      <c r="H604" s="530">
        <v>75.22720471983915</v>
      </c>
      <c r="I604" s="530">
        <v>94.146570620257165</v>
      </c>
      <c r="J604" s="530">
        <v>202.98095557392674</v>
      </c>
      <c r="K604" s="530">
        <v>182.86201455069238</v>
      </c>
      <c r="L604" s="530">
        <v>191.80324704543642</v>
      </c>
      <c r="M604" s="530">
        <v>253.91384572969315</v>
      </c>
      <c r="N604" s="530">
        <v>228.28876250073699</v>
      </c>
      <c r="O604" s="530">
        <v>274.22471385257268</v>
      </c>
      <c r="P604" s="530">
        <v>163.82044154325285</v>
      </c>
      <c r="Q604" s="530">
        <v>154.11225906667735</v>
      </c>
      <c r="R604" s="530">
        <v>96.813026961800915</v>
      </c>
      <c r="S604" s="530">
        <v>65.561440628140247</v>
      </c>
      <c r="T604" s="530">
        <v>1983.7544827930258</v>
      </c>
      <c r="U604" s="530" t="s">
        <v>61</v>
      </c>
    </row>
    <row r="605" spans="1:21" ht="13.8" x14ac:dyDescent="0.3">
      <c r="A605" s="530" t="str">
        <f t="shared" si="18"/>
        <v>Gwynedd.2022.Accommodation.Serviced Accommodation</v>
      </c>
      <c r="B605" s="530" t="s">
        <v>219</v>
      </c>
      <c r="C605" s="530" t="str">
        <f t="shared" si="19"/>
        <v>2022.Accommodation.Serviced Accommodation</v>
      </c>
      <c r="D605" s="530" t="s">
        <v>242</v>
      </c>
      <c r="E605" s="530" t="s">
        <v>23</v>
      </c>
      <c r="F605" s="530" t="s">
        <v>43</v>
      </c>
      <c r="G605" s="530" t="s">
        <v>43</v>
      </c>
      <c r="H605" s="530">
        <v>5901</v>
      </c>
      <c r="I605" s="530">
        <v>6048</v>
      </c>
      <c r="J605" s="530">
        <v>6286</v>
      </c>
      <c r="K605" s="530">
        <v>6364</v>
      </c>
      <c r="L605" s="530">
        <v>6376</v>
      </c>
      <c r="M605" s="530">
        <v>6376</v>
      </c>
      <c r="N605" s="530">
        <v>6376</v>
      </c>
      <c r="O605" s="530">
        <v>6376</v>
      </c>
      <c r="P605" s="530">
        <v>6376</v>
      </c>
      <c r="Q605" s="530">
        <v>6359</v>
      </c>
      <c r="R605" s="530">
        <v>6176</v>
      </c>
      <c r="S605" s="530">
        <v>6143</v>
      </c>
      <c r="T605" s="530">
        <v>6376</v>
      </c>
      <c r="U605" s="530" t="s">
        <v>58</v>
      </c>
    </row>
    <row r="606" spans="1:21" ht="13.8" x14ac:dyDescent="0.3">
      <c r="A606" s="530" t="str">
        <f t="shared" si="18"/>
        <v>Gwynedd.2022.Accommodation.Non-Serviced Accommodation</v>
      </c>
      <c r="B606" s="530" t="s">
        <v>219</v>
      </c>
      <c r="C606" s="530" t="str">
        <f t="shared" si="19"/>
        <v>2022.Accommodation.Non-Serviced Accommodation</v>
      </c>
      <c r="D606" s="530" t="s">
        <v>242</v>
      </c>
      <c r="E606" s="530" t="s">
        <v>23</v>
      </c>
      <c r="F606" s="530" t="s">
        <v>48</v>
      </c>
      <c r="G606" s="530" t="s">
        <v>48</v>
      </c>
      <c r="H606" s="530">
        <v>44583.462297223501</v>
      </c>
      <c r="I606" s="530">
        <v>42603.53723744431</v>
      </c>
      <c r="J606" s="530">
        <v>97223.250776673594</v>
      </c>
      <c r="K606" s="530">
        <v>103347.04403709338</v>
      </c>
      <c r="L606" s="530">
        <v>102639.77136201361</v>
      </c>
      <c r="M606" s="530">
        <v>104012.23930836853</v>
      </c>
      <c r="N606" s="530">
        <v>103686.24063487112</v>
      </c>
      <c r="O606" s="530">
        <v>103156.51828916121</v>
      </c>
      <c r="P606" s="530">
        <v>103668.26017702876</v>
      </c>
      <c r="Q606" s="530">
        <v>102669.89073402103</v>
      </c>
      <c r="R606" s="530">
        <v>62806.859634570843</v>
      </c>
      <c r="S606" s="530">
        <v>58071.280620054291</v>
      </c>
      <c r="T606" s="530">
        <v>104012.23930836853</v>
      </c>
      <c r="U606" s="530" t="s">
        <v>58</v>
      </c>
    </row>
    <row r="607" spans="1:21" ht="13.8" x14ac:dyDescent="0.3">
      <c r="A607" s="530" t="str">
        <f t="shared" si="18"/>
        <v>Gwynedd.2022.Accommodation.Total</v>
      </c>
      <c r="B607" s="530" t="s">
        <v>219</v>
      </c>
      <c r="C607" s="530" t="str">
        <f t="shared" si="19"/>
        <v>2022.Accommodation.Total</v>
      </c>
      <c r="D607" s="530" t="s">
        <v>242</v>
      </c>
      <c r="E607" s="530" t="s">
        <v>23</v>
      </c>
      <c r="F607" s="530" t="s">
        <v>54</v>
      </c>
      <c r="G607" s="530" t="s">
        <v>54</v>
      </c>
      <c r="H607" s="530">
        <v>50484.462297223501</v>
      </c>
      <c r="I607" s="530">
        <v>48651.53723744431</v>
      </c>
      <c r="J607" s="530">
        <v>103509.25077667359</v>
      </c>
      <c r="K607" s="530">
        <v>109711.04403709338</v>
      </c>
      <c r="L607" s="530">
        <v>109015.77136201361</v>
      </c>
      <c r="M607" s="530">
        <v>110388.23930836853</v>
      </c>
      <c r="N607" s="530">
        <v>110062.24063487112</v>
      </c>
      <c r="O607" s="530">
        <v>109532.51828916121</v>
      </c>
      <c r="P607" s="530">
        <v>110044.26017702876</v>
      </c>
      <c r="Q607" s="530">
        <v>109028.89073402103</v>
      </c>
      <c r="R607" s="530">
        <v>68982.859634570836</v>
      </c>
      <c r="S607" s="530">
        <v>64214.280620054291</v>
      </c>
      <c r="T607" s="530">
        <v>110388.23930836853</v>
      </c>
      <c r="U607" s="530" t="s">
        <v>58</v>
      </c>
    </row>
    <row r="608" spans="1:21" ht="13.8" x14ac:dyDescent="0.3">
      <c r="A608" s="530" t="str">
        <f t="shared" si="18"/>
        <v>Gwynedd.2022.Economic Impact.Total</v>
      </c>
      <c r="B608" s="530" t="s">
        <v>219</v>
      </c>
      <c r="C608" s="530" t="str">
        <f t="shared" si="19"/>
        <v>2022.Economic Impact.Total</v>
      </c>
      <c r="D608" s="530" t="s">
        <v>242</v>
      </c>
      <c r="E608" s="530" t="s">
        <v>17</v>
      </c>
      <c r="F608" s="530" t="s">
        <v>54</v>
      </c>
      <c r="G608" s="530" t="s">
        <v>54</v>
      </c>
      <c r="H608" s="530">
        <v>50980.080778049138</v>
      </c>
      <c r="I608" s="530">
        <v>59913.664615509828</v>
      </c>
      <c r="J608" s="530">
        <v>135703.20980316133</v>
      </c>
      <c r="K608" s="530">
        <v>126456.01117664154</v>
      </c>
      <c r="L608" s="530">
        <v>145079.47425356001</v>
      </c>
      <c r="M608" s="530">
        <v>162795.63186783297</v>
      </c>
      <c r="N608" s="530">
        <v>197724.56473614639</v>
      </c>
      <c r="O608" s="530">
        <v>221775.45943978932</v>
      </c>
      <c r="P608" s="530">
        <v>158157.06955069676</v>
      </c>
      <c r="Q608" s="530">
        <v>127051.01266127985</v>
      </c>
      <c r="R608" s="530">
        <v>73095.394381108606</v>
      </c>
      <c r="S608" s="530">
        <v>64709.797711719861</v>
      </c>
      <c r="T608" s="530">
        <v>1523441.3709754955</v>
      </c>
      <c r="U608" s="530" t="s">
        <v>57</v>
      </c>
    </row>
    <row r="609" spans="1:21" ht="13.8" x14ac:dyDescent="0.3">
      <c r="A609" s="530" t="str">
        <f t="shared" si="18"/>
        <v>Gwynedd.2011.Accommodation - Establishments.Serviced Accommodation 1</v>
      </c>
      <c r="B609" s="530" t="s">
        <v>219</v>
      </c>
      <c r="C609" s="530" t="str">
        <f t="shared" si="19"/>
        <v>2011.Accommodation - Establishments.Serviced Accommodation 1</v>
      </c>
      <c r="D609" s="530" t="s">
        <v>220</v>
      </c>
      <c r="E609" s="530" t="s">
        <v>150</v>
      </c>
      <c r="F609" s="530" t="s">
        <v>151</v>
      </c>
      <c r="G609" s="530" t="s">
        <v>221</v>
      </c>
      <c r="H609" s="530"/>
      <c r="I609" s="530"/>
      <c r="J609" s="530"/>
      <c r="K609" s="530"/>
      <c r="L609" s="530"/>
      <c r="M609" s="530"/>
      <c r="N609" s="530"/>
      <c r="O609" s="530"/>
      <c r="P609" s="530"/>
      <c r="Q609" s="530"/>
      <c r="R609" s="530"/>
      <c r="S609" s="530"/>
      <c r="T609" s="530">
        <v>8</v>
      </c>
      <c r="U609" s="530" t="s">
        <v>149</v>
      </c>
    </row>
    <row r="610" spans="1:21" ht="13.8" x14ac:dyDescent="0.3">
      <c r="A610" s="530" t="str">
        <f t="shared" si="18"/>
        <v>Gwynedd.2011.Accommodation - Establishments.Serviced Accommodation 2</v>
      </c>
      <c r="B610" s="530" t="s">
        <v>219</v>
      </c>
      <c r="C610" s="530" t="str">
        <f t="shared" si="19"/>
        <v>2011.Accommodation - Establishments.Serviced Accommodation 2</v>
      </c>
      <c r="D610" s="530" t="s">
        <v>220</v>
      </c>
      <c r="E610" s="530" t="s">
        <v>150</v>
      </c>
      <c r="F610" s="530" t="s">
        <v>152</v>
      </c>
      <c r="G610" s="530" t="s">
        <v>222</v>
      </c>
      <c r="H610" s="530"/>
      <c r="I610" s="530"/>
      <c r="J610" s="530"/>
      <c r="K610" s="530"/>
      <c r="L610" s="530"/>
      <c r="M610" s="530"/>
      <c r="N610" s="530"/>
      <c r="O610" s="530"/>
      <c r="P610" s="530"/>
      <c r="Q610" s="530"/>
      <c r="R610" s="530"/>
      <c r="S610" s="530"/>
      <c r="T610" s="530">
        <v>71</v>
      </c>
      <c r="U610" s="530" t="s">
        <v>149</v>
      </c>
    </row>
    <row r="611" spans="1:21" ht="13.8" x14ac:dyDescent="0.3">
      <c r="A611" s="530" t="str">
        <f t="shared" si="18"/>
        <v>Gwynedd.2011.Accommodation - Establishments.Serviced Accommodation 3</v>
      </c>
      <c r="B611" s="530" t="s">
        <v>219</v>
      </c>
      <c r="C611" s="530" t="str">
        <f t="shared" si="19"/>
        <v>2011.Accommodation - Establishments.Serviced Accommodation 3</v>
      </c>
      <c r="D611" s="530" t="s">
        <v>220</v>
      </c>
      <c r="E611" s="530" t="s">
        <v>150</v>
      </c>
      <c r="F611" s="530" t="s">
        <v>153</v>
      </c>
      <c r="G611" s="530" t="s">
        <v>223</v>
      </c>
      <c r="H611" s="530"/>
      <c r="I611" s="530"/>
      <c r="J611" s="530"/>
      <c r="K611" s="530"/>
      <c r="L611" s="530"/>
      <c r="M611" s="530"/>
      <c r="N611" s="530"/>
      <c r="O611" s="530"/>
      <c r="P611" s="530"/>
      <c r="Q611" s="530"/>
      <c r="R611" s="530"/>
      <c r="S611" s="530"/>
      <c r="T611" s="530">
        <v>564</v>
      </c>
      <c r="U611" s="530" t="s">
        <v>149</v>
      </c>
    </row>
    <row r="612" spans="1:21" ht="13.8" x14ac:dyDescent="0.3">
      <c r="A612" s="530" t="str">
        <f t="shared" si="18"/>
        <v>Gwynedd.2011.Accommodation - Establishments.Serviced Accommodation 4</v>
      </c>
      <c r="B612" s="530" t="s">
        <v>219</v>
      </c>
      <c r="C612" s="530" t="str">
        <f t="shared" si="19"/>
        <v>2011.Accommodation - Establishments.Serviced Accommodation 4</v>
      </c>
      <c r="D612" s="530" t="s">
        <v>220</v>
      </c>
      <c r="E612" s="530" t="s">
        <v>150</v>
      </c>
      <c r="F612" s="530" t="s">
        <v>154</v>
      </c>
      <c r="G612" s="530" t="s">
        <v>224</v>
      </c>
      <c r="H612" s="530"/>
      <c r="I612" s="530"/>
      <c r="J612" s="530"/>
      <c r="K612" s="530"/>
      <c r="L612" s="530"/>
      <c r="M612" s="530"/>
      <c r="N612" s="530"/>
      <c r="O612" s="530"/>
      <c r="P612" s="530"/>
      <c r="Q612" s="530"/>
      <c r="R612" s="530"/>
      <c r="S612" s="530"/>
      <c r="T612" s="530" t="s">
        <v>224</v>
      </c>
      <c r="U612" s="530" t="s">
        <v>149</v>
      </c>
    </row>
    <row r="613" spans="1:21" ht="13.8" x14ac:dyDescent="0.3">
      <c r="A613" s="530" t="str">
        <f t="shared" si="18"/>
        <v>Gwynedd.2011.Accommodation - Establishments.Serviced Accommodation 5</v>
      </c>
      <c r="B613" s="530" t="s">
        <v>219</v>
      </c>
      <c r="C613" s="530" t="str">
        <f t="shared" si="19"/>
        <v>2011.Accommodation - Establishments.Serviced Accommodation 5</v>
      </c>
      <c r="D613" s="530" t="s">
        <v>220</v>
      </c>
      <c r="E613" s="530" t="s">
        <v>150</v>
      </c>
      <c r="F613" s="530" t="s">
        <v>155</v>
      </c>
      <c r="G613" s="530" t="s">
        <v>224</v>
      </c>
      <c r="H613" s="530"/>
      <c r="I613" s="530"/>
      <c r="J613" s="530"/>
      <c r="K613" s="530"/>
      <c r="L613" s="530"/>
      <c r="M613" s="530"/>
      <c r="N613" s="530"/>
      <c r="O613" s="530"/>
      <c r="P613" s="530"/>
      <c r="Q613" s="530"/>
      <c r="R613" s="530"/>
      <c r="S613" s="530"/>
      <c r="T613" s="530" t="s">
        <v>224</v>
      </c>
      <c r="U613" s="530" t="s">
        <v>149</v>
      </c>
    </row>
    <row r="614" spans="1:21" ht="15" customHeight="1" x14ac:dyDescent="0.3">
      <c r="A614" s="530" t="str">
        <f t="shared" si="18"/>
        <v>Gwynedd.2011.Accommodation - Establishments.Serviced Accommodation Total</v>
      </c>
      <c r="B614" s="530" t="s">
        <v>219</v>
      </c>
      <c r="C614" s="530" t="str">
        <f t="shared" si="19"/>
        <v>2011.Accommodation - Establishments.Serviced Accommodation Total</v>
      </c>
      <c r="D614" s="530" t="s">
        <v>220</v>
      </c>
      <c r="E614" s="530" t="s">
        <v>150</v>
      </c>
      <c r="F614" s="530" t="s">
        <v>161</v>
      </c>
      <c r="G614" s="530" t="s">
        <v>225</v>
      </c>
      <c r="H614" s="530"/>
      <c r="I614" s="530"/>
      <c r="J614" s="530"/>
      <c r="K614" s="530"/>
      <c r="L614" s="530"/>
      <c r="M614" s="530"/>
      <c r="N614" s="530"/>
      <c r="O614" s="530"/>
      <c r="P614" s="530"/>
      <c r="Q614" s="530"/>
      <c r="R614" s="530"/>
      <c r="S614" s="530"/>
      <c r="T614" s="530">
        <v>643</v>
      </c>
      <c r="U614" s="530" t="s">
        <v>149</v>
      </c>
    </row>
    <row r="615" spans="1:21" ht="15" customHeight="1" x14ac:dyDescent="0.3">
      <c r="A615" s="530" t="str">
        <f t="shared" si="18"/>
        <v>Gwynedd.2011.Accommodation - Establishments.Non-Serviced Accommodation 1</v>
      </c>
      <c r="B615" s="530" t="s">
        <v>219</v>
      </c>
      <c r="C615" s="530" t="str">
        <f t="shared" si="19"/>
        <v>2011.Accommodation - Establishments.Non-Serviced Accommodation 1</v>
      </c>
      <c r="D615" s="530" t="s">
        <v>220</v>
      </c>
      <c r="E615" s="530" t="s">
        <v>150</v>
      </c>
      <c r="F615" s="530" t="s">
        <v>156</v>
      </c>
      <c r="G615" s="530" t="s">
        <v>226</v>
      </c>
      <c r="H615" s="530"/>
      <c r="I615" s="530"/>
      <c r="J615" s="530"/>
      <c r="K615" s="530"/>
      <c r="L615" s="530"/>
      <c r="M615" s="530"/>
      <c r="N615" s="530"/>
      <c r="O615" s="530"/>
      <c r="P615" s="530"/>
      <c r="Q615" s="530"/>
      <c r="R615" s="530"/>
      <c r="S615" s="530"/>
      <c r="T615" s="530">
        <v>740</v>
      </c>
      <c r="U615" s="530" t="s">
        <v>149</v>
      </c>
    </row>
    <row r="616" spans="1:21" ht="15" customHeight="1" x14ac:dyDescent="0.3">
      <c r="A616" s="530" t="str">
        <f t="shared" si="18"/>
        <v>Gwynedd.2011.Accommodation - Establishments.Non-Serviced Accommodation 2</v>
      </c>
      <c r="B616" s="530" t="s">
        <v>219</v>
      </c>
      <c r="C616" s="530" t="str">
        <f t="shared" si="19"/>
        <v>2011.Accommodation - Establishments.Non-Serviced Accommodation 2</v>
      </c>
      <c r="D616" s="530" t="s">
        <v>220</v>
      </c>
      <c r="E616" s="530" t="s">
        <v>150</v>
      </c>
      <c r="F616" s="530" t="s">
        <v>157</v>
      </c>
      <c r="G616" s="530" t="s">
        <v>227</v>
      </c>
      <c r="H616" s="530"/>
      <c r="I616" s="530"/>
      <c r="J616" s="530"/>
      <c r="K616" s="530"/>
      <c r="L616" s="530"/>
      <c r="M616" s="530"/>
      <c r="N616" s="530"/>
      <c r="O616" s="530"/>
      <c r="P616" s="530"/>
      <c r="Q616" s="530"/>
      <c r="R616" s="530"/>
      <c r="S616" s="530"/>
      <c r="T616" s="530">
        <v>238</v>
      </c>
      <c r="U616" s="530" t="s">
        <v>149</v>
      </c>
    </row>
    <row r="617" spans="1:21" ht="15" customHeight="1" x14ac:dyDescent="0.3">
      <c r="A617" s="530" t="str">
        <f t="shared" si="18"/>
        <v>Gwynedd.2011.Accommodation - Establishments.Non-Serviced Accommodation 3</v>
      </c>
      <c r="B617" s="530" t="s">
        <v>219</v>
      </c>
      <c r="C617" s="530" t="str">
        <f t="shared" si="19"/>
        <v>2011.Accommodation - Establishments.Non-Serviced Accommodation 3</v>
      </c>
      <c r="D617" s="530" t="s">
        <v>220</v>
      </c>
      <c r="E617" s="530" t="s">
        <v>150</v>
      </c>
      <c r="F617" s="530" t="s">
        <v>158</v>
      </c>
      <c r="G617" s="530" t="s">
        <v>228</v>
      </c>
      <c r="H617" s="530"/>
      <c r="I617" s="530"/>
      <c r="J617" s="530"/>
      <c r="K617" s="530"/>
      <c r="L617" s="530"/>
      <c r="M617" s="530"/>
      <c r="N617" s="530"/>
      <c r="O617" s="530"/>
      <c r="P617" s="530"/>
      <c r="Q617" s="530"/>
      <c r="R617" s="530"/>
      <c r="S617" s="530"/>
      <c r="T617" s="530">
        <v>320</v>
      </c>
      <c r="U617" s="530" t="s">
        <v>149</v>
      </c>
    </row>
    <row r="618" spans="1:21" ht="15" customHeight="1" x14ac:dyDescent="0.3">
      <c r="A618" s="530" t="str">
        <f t="shared" si="18"/>
        <v>Gwynedd.2011.Accommodation - Establishments.Non-Serviced Accommodation 4</v>
      </c>
      <c r="B618" s="530" t="s">
        <v>219</v>
      </c>
      <c r="C618" s="530" t="str">
        <f t="shared" si="19"/>
        <v>2011.Accommodation - Establishments.Non-Serviced Accommodation 4</v>
      </c>
      <c r="D618" s="530" t="s">
        <v>220</v>
      </c>
      <c r="E618" s="530" t="s">
        <v>150</v>
      </c>
      <c r="F618" s="530" t="s">
        <v>159</v>
      </c>
      <c r="G618" s="530" t="s">
        <v>229</v>
      </c>
      <c r="H618" s="530"/>
      <c r="I618" s="530"/>
      <c r="J618" s="530"/>
      <c r="K618" s="530"/>
      <c r="L618" s="530"/>
      <c r="M618" s="530"/>
      <c r="N618" s="530"/>
      <c r="O618" s="530"/>
      <c r="P618" s="530"/>
      <c r="Q618" s="530"/>
      <c r="R618" s="530"/>
      <c r="S618" s="530"/>
      <c r="T618" s="530">
        <v>0</v>
      </c>
      <c r="U618" s="530" t="s">
        <v>149</v>
      </c>
    </row>
    <row r="619" spans="1:21" ht="15" customHeight="1" x14ac:dyDescent="0.3">
      <c r="A619" s="530" t="str">
        <f t="shared" si="18"/>
        <v>Gwynedd.2011.Accommodation - Establishments.Non-Serviced Accommodation 5</v>
      </c>
      <c r="B619" s="530" t="s">
        <v>219</v>
      </c>
      <c r="C619" s="530" t="str">
        <f t="shared" si="19"/>
        <v>2011.Accommodation - Establishments.Non-Serviced Accommodation 5</v>
      </c>
      <c r="D619" s="530" t="s">
        <v>220</v>
      </c>
      <c r="E619" s="530" t="s">
        <v>150</v>
      </c>
      <c r="F619" s="530" t="s">
        <v>160</v>
      </c>
      <c r="G619" s="530" t="s">
        <v>224</v>
      </c>
      <c r="H619" s="530"/>
      <c r="I619" s="530"/>
      <c r="J619" s="530"/>
      <c r="K619" s="530"/>
      <c r="L619" s="530"/>
      <c r="M619" s="530"/>
      <c r="N619" s="530"/>
      <c r="O619" s="530"/>
      <c r="P619" s="530"/>
      <c r="Q619" s="530"/>
      <c r="R619" s="530"/>
      <c r="S619" s="530"/>
      <c r="T619" s="530" t="s">
        <v>224</v>
      </c>
      <c r="U619" s="530" t="s">
        <v>149</v>
      </c>
    </row>
    <row r="620" spans="1:21" ht="15" customHeight="1" x14ac:dyDescent="0.3">
      <c r="A620" s="530" t="str">
        <f t="shared" si="18"/>
        <v>Gwynedd.2011.Accommodation - Establishments.Non-Serviced Accommodation Total</v>
      </c>
      <c r="B620" s="530" t="s">
        <v>219</v>
      </c>
      <c r="C620" s="530" t="str">
        <f t="shared" si="19"/>
        <v>2011.Accommodation - Establishments.Non-Serviced Accommodation Total</v>
      </c>
      <c r="D620" s="530" t="s">
        <v>220</v>
      </c>
      <c r="E620" s="530" t="s">
        <v>150</v>
      </c>
      <c r="F620" s="530" t="s">
        <v>162</v>
      </c>
      <c r="G620" s="530" t="s">
        <v>230</v>
      </c>
      <c r="H620" s="530"/>
      <c r="I620" s="530"/>
      <c r="J620" s="530"/>
      <c r="K620" s="530"/>
      <c r="L620" s="530"/>
      <c r="M620" s="530"/>
      <c r="N620" s="530"/>
      <c r="O620" s="530"/>
      <c r="P620" s="530"/>
      <c r="Q620" s="530"/>
      <c r="R620" s="530"/>
      <c r="S620" s="530"/>
      <c r="T620" s="530">
        <v>1298</v>
      </c>
      <c r="U620" s="530" t="s">
        <v>149</v>
      </c>
    </row>
    <row r="621" spans="1:21" ht="15" customHeight="1" x14ac:dyDescent="0.3">
      <c r="A621" s="530" t="str">
        <f t="shared" si="18"/>
        <v>Gwynedd.2011.Accommodation - Establishments.All Accommodation Types</v>
      </c>
      <c r="B621" s="530" t="s">
        <v>219</v>
      </c>
      <c r="C621" s="530" t="str">
        <f t="shared" si="19"/>
        <v>2011.Accommodation - Establishments.All Accommodation Types</v>
      </c>
      <c r="D621" s="530" t="s">
        <v>220</v>
      </c>
      <c r="E621" s="530" t="s">
        <v>150</v>
      </c>
      <c r="F621" s="530" t="s">
        <v>163</v>
      </c>
      <c r="G621" s="530" t="s">
        <v>38</v>
      </c>
      <c r="H621" s="530"/>
      <c r="I621" s="530"/>
      <c r="J621" s="530"/>
      <c r="K621" s="530"/>
      <c r="L621" s="530"/>
      <c r="M621" s="530"/>
      <c r="N621" s="530"/>
      <c r="O621" s="530"/>
      <c r="P621" s="530"/>
      <c r="Q621" s="530"/>
      <c r="R621" s="530"/>
      <c r="S621" s="530"/>
      <c r="T621" s="530">
        <v>1941</v>
      </c>
      <c r="U621" s="530" t="s">
        <v>149</v>
      </c>
    </row>
    <row r="622" spans="1:21" ht="13.8" x14ac:dyDescent="0.3">
      <c r="A622" s="530" t="str">
        <f t="shared" si="18"/>
        <v>Gwynedd.2011.Accommodation - Bed Spaces.Serviced Accommodation 1</v>
      </c>
      <c r="B622" s="530" t="s">
        <v>219</v>
      </c>
      <c r="C622" s="530" t="str">
        <f t="shared" si="19"/>
        <v>2011.Accommodation - Bed Spaces.Serviced Accommodation 1</v>
      </c>
      <c r="D622" s="530" t="s">
        <v>220</v>
      </c>
      <c r="E622" s="530" t="s">
        <v>164</v>
      </c>
      <c r="F622" s="530" t="s">
        <v>151</v>
      </c>
      <c r="G622" s="530" t="s">
        <v>221</v>
      </c>
      <c r="H622" s="530"/>
      <c r="I622" s="530"/>
      <c r="J622" s="530"/>
      <c r="K622" s="530"/>
      <c r="L622" s="530"/>
      <c r="M622" s="530"/>
      <c r="N622" s="530"/>
      <c r="O622" s="530"/>
      <c r="P622" s="530"/>
      <c r="Q622" s="530"/>
      <c r="R622" s="530"/>
      <c r="S622" s="530"/>
      <c r="T622" s="530">
        <v>1694</v>
      </c>
      <c r="U622" s="530" t="s">
        <v>58</v>
      </c>
    </row>
    <row r="623" spans="1:21" ht="13.8" x14ac:dyDescent="0.3">
      <c r="A623" s="530" t="str">
        <f t="shared" si="18"/>
        <v>Gwynedd.2011.Accommodation - Bed Spaces.Serviced Accommodation 2</v>
      </c>
      <c r="B623" s="530" t="s">
        <v>219</v>
      </c>
      <c r="C623" s="530" t="str">
        <f t="shared" si="19"/>
        <v>2011.Accommodation - Bed Spaces.Serviced Accommodation 2</v>
      </c>
      <c r="D623" s="530" t="s">
        <v>220</v>
      </c>
      <c r="E623" s="530" t="s">
        <v>164</v>
      </c>
      <c r="F623" s="530" t="s">
        <v>152</v>
      </c>
      <c r="G623" s="530" t="s">
        <v>222</v>
      </c>
      <c r="H623" s="530"/>
      <c r="I623" s="530"/>
      <c r="J623" s="530"/>
      <c r="K623" s="530"/>
      <c r="L623" s="530"/>
      <c r="M623" s="530"/>
      <c r="N623" s="530"/>
      <c r="O623" s="530"/>
      <c r="P623" s="530"/>
      <c r="Q623" s="530"/>
      <c r="R623" s="530"/>
      <c r="S623" s="530"/>
      <c r="T623" s="530">
        <v>2906</v>
      </c>
      <c r="U623" s="530" t="s">
        <v>58</v>
      </c>
    </row>
    <row r="624" spans="1:21" ht="13.8" x14ac:dyDescent="0.3">
      <c r="A624" s="530" t="str">
        <f t="shared" si="18"/>
        <v>Gwynedd.2011.Accommodation - Bed Spaces.Serviced Accommodation 3</v>
      </c>
      <c r="B624" s="530" t="s">
        <v>219</v>
      </c>
      <c r="C624" s="530" t="str">
        <f t="shared" si="19"/>
        <v>2011.Accommodation - Bed Spaces.Serviced Accommodation 3</v>
      </c>
      <c r="D624" s="530" t="s">
        <v>220</v>
      </c>
      <c r="E624" s="530" t="s">
        <v>164</v>
      </c>
      <c r="F624" s="530" t="s">
        <v>153</v>
      </c>
      <c r="G624" s="530" t="s">
        <v>223</v>
      </c>
      <c r="H624" s="530"/>
      <c r="I624" s="530"/>
      <c r="J624" s="530"/>
      <c r="K624" s="530"/>
      <c r="L624" s="530"/>
      <c r="M624" s="530"/>
      <c r="N624" s="530"/>
      <c r="O624" s="530"/>
      <c r="P624" s="530"/>
      <c r="Q624" s="530"/>
      <c r="R624" s="530"/>
      <c r="S624" s="530"/>
      <c r="T624" s="530">
        <v>4978</v>
      </c>
      <c r="U624" s="530" t="s">
        <v>58</v>
      </c>
    </row>
    <row r="625" spans="1:21" ht="13.8" x14ac:dyDescent="0.3">
      <c r="A625" s="530" t="str">
        <f t="shared" si="18"/>
        <v>Gwynedd.2011.Accommodation - Bed Spaces.Serviced Accommodation 4</v>
      </c>
      <c r="B625" s="530" t="s">
        <v>219</v>
      </c>
      <c r="C625" s="530" t="str">
        <f t="shared" si="19"/>
        <v>2011.Accommodation - Bed Spaces.Serviced Accommodation 4</v>
      </c>
      <c r="D625" s="530" t="s">
        <v>220</v>
      </c>
      <c r="E625" s="530" t="s">
        <v>164</v>
      </c>
      <c r="F625" s="530" t="s">
        <v>154</v>
      </c>
      <c r="G625" s="530" t="s">
        <v>224</v>
      </c>
      <c r="H625" s="530"/>
      <c r="I625" s="530"/>
      <c r="J625" s="530"/>
      <c r="K625" s="530"/>
      <c r="L625" s="530"/>
      <c r="M625" s="530"/>
      <c r="N625" s="530"/>
      <c r="O625" s="530"/>
      <c r="P625" s="530"/>
      <c r="Q625" s="530"/>
      <c r="R625" s="530"/>
      <c r="S625" s="530"/>
      <c r="T625" s="530" t="s">
        <v>224</v>
      </c>
      <c r="U625" s="530" t="s">
        <v>58</v>
      </c>
    </row>
    <row r="626" spans="1:21" ht="13.8" x14ac:dyDescent="0.3">
      <c r="A626" s="530" t="str">
        <f t="shared" si="18"/>
        <v>Gwynedd.2011.Accommodation - Bed Spaces.Serviced Accommodation 5</v>
      </c>
      <c r="B626" s="530" t="s">
        <v>219</v>
      </c>
      <c r="C626" s="530" t="str">
        <f t="shared" si="19"/>
        <v>2011.Accommodation - Bed Spaces.Serviced Accommodation 5</v>
      </c>
      <c r="D626" s="530" t="s">
        <v>220</v>
      </c>
      <c r="E626" s="530" t="s">
        <v>164</v>
      </c>
      <c r="F626" s="530" t="s">
        <v>155</v>
      </c>
      <c r="G626" s="530" t="s">
        <v>224</v>
      </c>
      <c r="H626" s="530"/>
      <c r="I626" s="530"/>
      <c r="J626" s="530"/>
      <c r="K626" s="530"/>
      <c r="L626" s="530"/>
      <c r="M626" s="530"/>
      <c r="N626" s="530"/>
      <c r="O626" s="530"/>
      <c r="P626" s="530"/>
      <c r="Q626" s="530"/>
      <c r="R626" s="530"/>
      <c r="S626" s="530"/>
      <c r="T626" s="530" t="s">
        <v>224</v>
      </c>
      <c r="U626" s="530" t="s">
        <v>58</v>
      </c>
    </row>
    <row r="627" spans="1:21" ht="13.8" x14ac:dyDescent="0.3">
      <c r="A627" s="530" t="str">
        <f t="shared" si="18"/>
        <v>Gwynedd.2011.Accommodation - Bed Spaces.Serviced Accommodation Total</v>
      </c>
      <c r="B627" s="530" t="s">
        <v>219</v>
      </c>
      <c r="C627" s="530" t="str">
        <f t="shared" si="19"/>
        <v>2011.Accommodation - Bed Spaces.Serviced Accommodation Total</v>
      </c>
      <c r="D627" s="530" t="s">
        <v>220</v>
      </c>
      <c r="E627" s="530" t="s">
        <v>164</v>
      </c>
      <c r="F627" s="530" t="s">
        <v>161</v>
      </c>
      <c r="G627" s="530" t="s">
        <v>225</v>
      </c>
      <c r="H627" s="530"/>
      <c r="I627" s="530"/>
      <c r="J627" s="530"/>
      <c r="K627" s="530"/>
      <c r="L627" s="530"/>
      <c r="M627" s="530"/>
      <c r="N627" s="530"/>
      <c r="O627" s="530"/>
      <c r="P627" s="530"/>
      <c r="Q627" s="530"/>
      <c r="R627" s="530"/>
      <c r="S627" s="530"/>
      <c r="T627" s="530">
        <v>9578</v>
      </c>
      <c r="U627" s="530" t="s">
        <v>58</v>
      </c>
    </row>
    <row r="628" spans="1:21" ht="13.8" x14ac:dyDescent="0.3">
      <c r="A628" s="530" t="str">
        <f t="shared" si="18"/>
        <v>Gwynedd.2011.Accommodation - Bed Spaces.Non-Serviced Accommodation 1</v>
      </c>
      <c r="B628" s="530" t="s">
        <v>219</v>
      </c>
      <c r="C628" s="530" t="str">
        <f t="shared" si="19"/>
        <v>2011.Accommodation - Bed Spaces.Non-Serviced Accommodation 1</v>
      </c>
      <c r="D628" s="530" t="s">
        <v>220</v>
      </c>
      <c r="E628" s="530" t="s">
        <v>164</v>
      </c>
      <c r="F628" s="530" t="s">
        <v>156</v>
      </c>
      <c r="G628" s="530" t="s">
        <v>226</v>
      </c>
      <c r="H628" s="530"/>
      <c r="I628" s="530"/>
      <c r="J628" s="530"/>
      <c r="K628" s="530"/>
      <c r="L628" s="530"/>
      <c r="M628" s="530"/>
      <c r="N628" s="530"/>
      <c r="O628" s="530"/>
      <c r="P628" s="530"/>
      <c r="Q628" s="530"/>
      <c r="R628" s="530"/>
      <c r="S628" s="530"/>
      <c r="T628" s="530">
        <v>12783</v>
      </c>
      <c r="U628" s="530" t="s">
        <v>58</v>
      </c>
    </row>
    <row r="629" spans="1:21" ht="13.8" x14ac:dyDescent="0.3">
      <c r="A629" s="530" t="str">
        <f t="shared" si="18"/>
        <v>Gwynedd.2011.Accommodation - Bed Spaces.Non-Serviced Accommodation 2</v>
      </c>
      <c r="B629" s="530" t="s">
        <v>219</v>
      </c>
      <c r="C629" s="530" t="str">
        <f t="shared" si="19"/>
        <v>2011.Accommodation - Bed Spaces.Non-Serviced Accommodation 2</v>
      </c>
      <c r="D629" s="530" t="s">
        <v>220</v>
      </c>
      <c r="E629" s="530" t="s">
        <v>164</v>
      </c>
      <c r="F629" s="530" t="s">
        <v>157</v>
      </c>
      <c r="G629" s="530" t="s">
        <v>227</v>
      </c>
      <c r="H629" s="530"/>
      <c r="I629" s="530"/>
      <c r="J629" s="530"/>
      <c r="K629" s="530"/>
      <c r="L629" s="530"/>
      <c r="M629" s="530"/>
      <c r="N629" s="530"/>
      <c r="O629" s="530"/>
      <c r="P629" s="530"/>
      <c r="Q629" s="530"/>
      <c r="R629" s="530"/>
      <c r="S629" s="530"/>
      <c r="T629" s="530">
        <v>6532</v>
      </c>
      <c r="U629" s="530" t="s">
        <v>58</v>
      </c>
    </row>
    <row r="630" spans="1:21" ht="13.8" x14ac:dyDescent="0.3">
      <c r="A630" s="530" t="str">
        <f t="shared" si="18"/>
        <v>Gwynedd.2011.Accommodation - Bed Spaces.Non-Serviced Accommodation 3</v>
      </c>
      <c r="B630" s="530" t="s">
        <v>219</v>
      </c>
      <c r="C630" s="530" t="str">
        <f t="shared" si="19"/>
        <v>2011.Accommodation - Bed Spaces.Non-Serviced Accommodation 3</v>
      </c>
      <c r="D630" s="530" t="s">
        <v>220</v>
      </c>
      <c r="E630" s="530" t="s">
        <v>164</v>
      </c>
      <c r="F630" s="530" t="s">
        <v>158</v>
      </c>
      <c r="G630" s="530" t="s">
        <v>228</v>
      </c>
      <c r="H630" s="530"/>
      <c r="I630" s="530"/>
      <c r="J630" s="530"/>
      <c r="K630" s="530"/>
      <c r="L630" s="530"/>
      <c r="M630" s="530"/>
      <c r="N630" s="530"/>
      <c r="O630" s="530"/>
      <c r="P630" s="530"/>
      <c r="Q630" s="530"/>
      <c r="R630" s="530"/>
      <c r="S630" s="530"/>
      <c r="T630" s="530">
        <v>43818</v>
      </c>
      <c r="U630" s="530" t="s">
        <v>58</v>
      </c>
    </row>
    <row r="631" spans="1:21" ht="13.8" x14ac:dyDescent="0.3">
      <c r="A631" s="530" t="str">
        <f t="shared" si="18"/>
        <v>Gwynedd.2011.Accommodation - Bed Spaces.Non-Serviced Accommodation 4</v>
      </c>
      <c r="B631" s="530" t="s">
        <v>219</v>
      </c>
      <c r="C631" s="530" t="str">
        <f t="shared" si="19"/>
        <v>2011.Accommodation - Bed Spaces.Non-Serviced Accommodation 4</v>
      </c>
      <c r="D631" s="530" t="s">
        <v>220</v>
      </c>
      <c r="E631" s="530" t="s">
        <v>164</v>
      </c>
      <c r="F631" s="530" t="s">
        <v>159</v>
      </c>
      <c r="G631" s="530" t="s">
        <v>229</v>
      </c>
      <c r="H631" s="530"/>
      <c r="I631" s="530"/>
      <c r="J631" s="530"/>
      <c r="K631" s="530"/>
      <c r="L631" s="530"/>
      <c r="M631" s="530"/>
      <c r="N631" s="530"/>
      <c r="O631" s="530"/>
      <c r="P631" s="530"/>
      <c r="Q631" s="530"/>
      <c r="R631" s="530"/>
      <c r="S631" s="530"/>
      <c r="T631" s="530">
        <v>40388</v>
      </c>
      <c r="U631" s="530" t="s">
        <v>58</v>
      </c>
    </row>
    <row r="632" spans="1:21" ht="13.8" x14ac:dyDescent="0.3">
      <c r="A632" s="530" t="str">
        <f t="shared" si="18"/>
        <v>Gwynedd.2011.Accommodation - Bed Spaces.Non-Serviced Accommodation 5</v>
      </c>
      <c r="B632" s="530" t="s">
        <v>219</v>
      </c>
      <c r="C632" s="530" t="str">
        <f t="shared" si="19"/>
        <v>2011.Accommodation - Bed Spaces.Non-Serviced Accommodation 5</v>
      </c>
      <c r="D632" s="530" t="s">
        <v>220</v>
      </c>
      <c r="E632" s="530" t="s">
        <v>164</v>
      </c>
      <c r="F632" s="530" t="s">
        <v>160</v>
      </c>
      <c r="G632" s="530" t="s">
        <v>224</v>
      </c>
      <c r="H632" s="530"/>
      <c r="I632" s="530"/>
      <c r="J632" s="530"/>
      <c r="K632" s="530"/>
      <c r="L632" s="530"/>
      <c r="M632" s="530"/>
      <c r="N632" s="530"/>
      <c r="O632" s="530"/>
      <c r="P632" s="530"/>
      <c r="Q632" s="530"/>
      <c r="R632" s="530"/>
      <c r="S632" s="530"/>
      <c r="T632" s="530" t="s">
        <v>224</v>
      </c>
      <c r="U632" s="530" t="s">
        <v>58</v>
      </c>
    </row>
    <row r="633" spans="1:21" ht="13.8" x14ac:dyDescent="0.3">
      <c r="A633" s="530" t="str">
        <f t="shared" si="18"/>
        <v>Gwynedd.2011.Accommodation - Bed Spaces.Non-Serviced Accommodation Total</v>
      </c>
      <c r="B633" s="530" t="s">
        <v>219</v>
      </c>
      <c r="C633" s="530" t="str">
        <f t="shared" si="19"/>
        <v>2011.Accommodation - Bed Spaces.Non-Serviced Accommodation Total</v>
      </c>
      <c r="D633" s="530" t="s">
        <v>220</v>
      </c>
      <c r="E633" s="530" t="s">
        <v>164</v>
      </c>
      <c r="F633" s="530" t="s">
        <v>162</v>
      </c>
      <c r="G633" s="530" t="s">
        <v>230</v>
      </c>
      <c r="H633" s="530"/>
      <c r="I633" s="530"/>
      <c r="J633" s="530"/>
      <c r="K633" s="530"/>
      <c r="L633" s="530"/>
      <c r="M633" s="530"/>
      <c r="N633" s="530"/>
      <c r="O633" s="530"/>
      <c r="P633" s="530"/>
      <c r="Q633" s="530"/>
      <c r="R633" s="530"/>
      <c r="S633" s="530"/>
      <c r="T633" s="530">
        <v>103521</v>
      </c>
      <c r="U633" s="530" t="s">
        <v>58</v>
      </c>
    </row>
    <row r="634" spans="1:21" ht="13.8" x14ac:dyDescent="0.3">
      <c r="A634" s="530" t="str">
        <f t="shared" si="18"/>
        <v>Gwynedd.2011.Accommodation - Bed Spaces.All Accommodation Types</v>
      </c>
      <c r="B634" s="530" t="s">
        <v>219</v>
      </c>
      <c r="C634" s="530" t="str">
        <f t="shared" si="19"/>
        <v>2011.Accommodation - Bed Spaces.All Accommodation Types</v>
      </c>
      <c r="D634" s="530" t="s">
        <v>220</v>
      </c>
      <c r="E634" s="530" t="s">
        <v>164</v>
      </c>
      <c r="F634" s="530" t="s">
        <v>163</v>
      </c>
      <c r="G634" s="530" t="s">
        <v>38</v>
      </c>
      <c r="H634" s="530"/>
      <c r="I634" s="530"/>
      <c r="J634" s="530"/>
      <c r="K634" s="530"/>
      <c r="L634" s="530"/>
      <c r="M634" s="530"/>
      <c r="N634" s="530"/>
      <c r="O634" s="530"/>
      <c r="P634" s="530"/>
      <c r="Q634" s="530"/>
      <c r="R634" s="530"/>
      <c r="S634" s="530"/>
      <c r="T634" s="530">
        <v>113099</v>
      </c>
      <c r="U634" s="530" t="s">
        <v>58</v>
      </c>
    </row>
    <row r="635" spans="1:21" ht="13.8" x14ac:dyDescent="0.3">
      <c r="A635" s="530" t="str">
        <f t="shared" si="18"/>
        <v>Gwynedd.2012.Accommodation - Establishments.Serviced Accommodation 1</v>
      </c>
      <c r="B635" s="530" t="s">
        <v>219</v>
      </c>
      <c r="C635" s="530" t="str">
        <f t="shared" si="19"/>
        <v>2012.Accommodation - Establishments.Serviced Accommodation 1</v>
      </c>
      <c r="D635" s="530" t="s">
        <v>231</v>
      </c>
      <c r="E635" s="530" t="s">
        <v>150</v>
      </c>
      <c r="F635" s="530" t="s">
        <v>151</v>
      </c>
      <c r="G635" s="530" t="s">
        <v>221</v>
      </c>
      <c r="H635" s="530"/>
      <c r="I635" s="530"/>
      <c r="J635" s="530"/>
      <c r="K635" s="530"/>
      <c r="L635" s="530"/>
      <c r="M635" s="530"/>
      <c r="N635" s="530"/>
      <c r="O635" s="530"/>
      <c r="P635" s="530"/>
      <c r="Q635" s="530"/>
      <c r="R635" s="530"/>
      <c r="S635" s="530"/>
      <c r="T635" s="530">
        <v>8</v>
      </c>
      <c r="U635" s="530" t="s">
        <v>149</v>
      </c>
    </row>
    <row r="636" spans="1:21" ht="13.8" x14ac:dyDescent="0.3">
      <c r="A636" s="530" t="str">
        <f t="shared" si="18"/>
        <v>Gwynedd.2012.Accommodation - Establishments.Serviced Accommodation 2</v>
      </c>
      <c r="B636" s="530" t="s">
        <v>219</v>
      </c>
      <c r="C636" s="530" t="str">
        <f t="shared" si="19"/>
        <v>2012.Accommodation - Establishments.Serviced Accommodation 2</v>
      </c>
      <c r="D636" s="530" t="s">
        <v>231</v>
      </c>
      <c r="E636" s="530" t="s">
        <v>150</v>
      </c>
      <c r="F636" s="530" t="s">
        <v>152</v>
      </c>
      <c r="G636" s="530" t="s">
        <v>222</v>
      </c>
      <c r="H636" s="530"/>
      <c r="I636" s="530"/>
      <c r="J636" s="530"/>
      <c r="K636" s="530"/>
      <c r="L636" s="530"/>
      <c r="M636" s="530"/>
      <c r="N636" s="530"/>
      <c r="O636" s="530"/>
      <c r="P636" s="530"/>
      <c r="Q636" s="530"/>
      <c r="R636" s="530"/>
      <c r="S636" s="530"/>
      <c r="T636" s="530">
        <v>71</v>
      </c>
      <c r="U636" s="530" t="s">
        <v>149</v>
      </c>
    </row>
    <row r="637" spans="1:21" ht="13.8" x14ac:dyDescent="0.3">
      <c r="A637" s="530" t="str">
        <f t="shared" si="18"/>
        <v>Gwynedd.2012.Accommodation - Establishments.Serviced Accommodation 3</v>
      </c>
      <c r="B637" s="530" t="s">
        <v>219</v>
      </c>
      <c r="C637" s="530" t="str">
        <f t="shared" si="19"/>
        <v>2012.Accommodation - Establishments.Serviced Accommodation 3</v>
      </c>
      <c r="D637" s="530" t="s">
        <v>231</v>
      </c>
      <c r="E637" s="530" t="s">
        <v>150</v>
      </c>
      <c r="F637" s="530" t="s">
        <v>153</v>
      </c>
      <c r="G637" s="530" t="s">
        <v>223</v>
      </c>
      <c r="H637" s="530"/>
      <c r="I637" s="530"/>
      <c r="J637" s="530"/>
      <c r="K637" s="530"/>
      <c r="L637" s="530"/>
      <c r="M637" s="530"/>
      <c r="N637" s="530"/>
      <c r="O637" s="530"/>
      <c r="P637" s="530"/>
      <c r="Q637" s="530"/>
      <c r="R637" s="530"/>
      <c r="S637" s="530"/>
      <c r="T637" s="530">
        <v>564</v>
      </c>
      <c r="U637" s="530" t="s">
        <v>149</v>
      </c>
    </row>
    <row r="638" spans="1:21" ht="13.8" x14ac:dyDescent="0.3">
      <c r="A638" s="530" t="str">
        <f t="shared" si="18"/>
        <v>Gwynedd.2012.Accommodation - Establishments.Serviced Accommodation 4</v>
      </c>
      <c r="B638" s="530" t="s">
        <v>219</v>
      </c>
      <c r="C638" s="530" t="str">
        <f t="shared" si="19"/>
        <v>2012.Accommodation - Establishments.Serviced Accommodation 4</v>
      </c>
      <c r="D638" s="530" t="s">
        <v>231</v>
      </c>
      <c r="E638" s="530" t="s">
        <v>150</v>
      </c>
      <c r="F638" s="530" t="s">
        <v>154</v>
      </c>
      <c r="G638" s="530" t="s">
        <v>224</v>
      </c>
      <c r="H638" s="530"/>
      <c r="I638" s="530"/>
      <c r="J638" s="530"/>
      <c r="K638" s="530"/>
      <c r="L638" s="530"/>
      <c r="M638" s="530"/>
      <c r="N638" s="530"/>
      <c r="O638" s="530"/>
      <c r="P638" s="530"/>
      <c r="Q638" s="530"/>
      <c r="R638" s="530"/>
      <c r="S638" s="530"/>
      <c r="T638" s="530" t="s">
        <v>224</v>
      </c>
      <c r="U638" s="530" t="s">
        <v>149</v>
      </c>
    </row>
    <row r="639" spans="1:21" ht="13.8" x14ac:dyDescent="0.3">
      <c r="A639" s="530" t="str">
        <f t="shared" si="18"/>
        <v>Gwynedd.2012.Accommodation - Establishments.Serviced Accommodation 5</v>
      </c>
      <c r="B639" s="530" t="s">
        <v>219</v>
      </c>
      <c r="C639" s="530" t="str">
        <f t="shared" si="19"/>
        <v>2012.Accommodation - Establishments.Serviced Accommodation 5</v>
      </c>
      <c r="D639" s="530" t="s">
        <v>231</v>
      </c>
      <c r="E639" s="530" t="s">
        <v>150</v>
      </c>
      <c r="F639" s="530" t="s">
        <v>155</v>
      </c>
      <c r="G639" s="530" t="s">
        <v>224</v>
      </c>
      <c r="H639" s="530"/>
      <c r="I639" s="530"/>
      <c r="J639" s="530"/>
      <c r="K639" s="530"/>
      <c r="L639" s="530"/>
      <c r="M639" s="530"/>
      <c r="N639" s="530"/>
      <c r="O639" s="530"/>
      <c r="P639" s="530"/>
      <c r="Q639" s="530"/>
      <c r="R639" s="530"/>
      <c r="S639" s="530"/>
      <c r="T639" s="530" t="s">
        <v>224</v>
      </c>
      <c r="U639" s="530" t="s">
        <v>149</v>
      </c>
    </row>
    <row r="640" spans="1:21" ht="15" customHeight="1" x14ac:dyDescent="0.3">
      <c r="A640" s="530" t="str">
        <f t="shared" si="18"/>
        <v>Gwynedd.2012.Accommodation - Establishments.Serviced Accommodation Total</v>
      </c>
      <c r="B640" s="530" t="s">
        <v>219</v>
      </c>
      <c r="C640" s="530" t="str">
        <f t="shared" si="19"/>
        <v>2012.Accommodation - Establishments.Serviced Accommodation Total</v>
      </c>
      <c r="D640" s="530" t="s">
        <v>231</v>
      </c>
      <c r="E640" s="530" t="s">
        <v>150</v>
      </c>
      <c r="F640" s="530" t="s">
        <v>161</v>
      </c>
      <c r="G640" s="530" t="s">
        <v>225</v>
      </c>
      <c r="H640" s="530"/>
      <c r="I640" s="530"/>
      <c r="J640" s="530"/>
      <c r="K640" s="530"/>
      <c r="L640" s="530"/>
      <c r="M640" s="530"/>
      <c r="N640" s="530"/>
      <c r="O640" s="530"/>
      <c r="P640" s="530"/>
      <c r="Q640" s="530"/>
      <c r="R640" s="530"/>
      <c r="S640" s="530"/>
      <c r="T640" s="530">
        <v>643</v>
      </c>
      <c r="U640" s="530" t="s">
        <v>149</v>
      </c>
    </row>
    <row r="641" spans="1:21" ht="15" customHeight="1" x14ac:dyDescent="0.3">
      <c r="A641" s="530" t="str">
        <f t="shared" si="18"/>
        <v>Gwynedd.2012.Accommodation - Establishments.Non-Serviced Accommodation 1</v>
      </c>
      <c r="B641" s="530" t="s">
        <v>219</v>
      </c>
      <c r="C641" s="530" t="str">
        <f t="shared" si="19"/>
        <v>2012.Accommodation - Establishments.Non-Serviced Accommodation 1</v>
      </c>
      <c r="D641" s="530" t="s">
        <v>231</v>
      </c>
      <c r="E641" s="530" t="s">
        <v>150</v>
      </c>
      <c r="F641" s="530" t="s">
        <v>156</v>
      </c>
      <c r="G641" s="530" t="s">
        <v>226</v>
      </c>
      <c r="H641" s="530"/>
      <c r="I641" s="530"/>
      <c r="J641" s="530"/>
      <c r="K641" s="530"/>
      <c r="L641" s="530"/>
      <c r="M641" s="530"/>
      <c r="N641" s="530"/>
      <c r="O641" s="530"/>
      <c r="P641" s="530"/>
      <c r="Q641" s="530"/>
      <c r="R641" s="530"/>
      <c r="S641" s="530"/>
      <c r="T641" s="530">
        <v>740</v>
      </c>
      <c r="U641" s="530" t="s">
        <v>149</v>
      </c>
    </row>
    <row r="642" spans="1:21" ht="15" customHeight="1" x14ac:dyDescent="0.3">
      <c r="A642" s="530" t="str">
        <f t="shared" si="18"/>
        <v>Gwynedd.2012.Accommodation - Establishments.Non-Serviced Accommodation 2</v>
      </c>
      <c r="B642" s="530" t="s">
        <v>219</v>
      </c>
      <c r="C642" s="530" t="str">
        <f t="shared" si="19"/>
        <v>2012.Accommodation - Establishments.Non-Serviced Accommodation 2</v>
      </c>
      <c r="D642" s="530" t="s">
        <v>231</v>
      </c>
      <c r="E642" s="530" t="s">
        <v>150</v>
      </c>
      <c r="F642" s="530" t="s">
        <v>157</v>
      </c>
      <c r="G642" s="530" t="s">
        <v>227</v>
      </c>
      <c r="H642" s="530"/>
      <c r="I642" s="530"/>
      <c r="J642" s="530"/>
      <c r="K642" s="530"/>
      <c r="L642" s="530"/>
      <c r="M642" s="530"/>
      <c r="N642" s="530"/>
      <c r="O642" s="530"/>
      <c r="P642" s="530"/>
      <c r="Q642" s="530"/>
      <c r="R642" s="530"/>
      <c r="S642" s="530"/>
      <c r="T642" s="530">
        <v>238</v>
      </c>
      <c r="U642" s="530" t="s">
        <v>149</v>
      </c>
    </row>
    <row r="643" spans="1:21" ht="15" customHeight="1" x14ac:dyDescent="0.3">
      <c r="A643" s="530" t="str">
        <f t="shared" si="18"/>
        <v>Gwynedd.2012.Accommodation - Establishments.Non-Serviced Accommodation 3</v>
      </c>
      <c r="B643" s="530" t="s">
        <v>219</v>
      </c>
      <c r="C643" s="530" t="str">
        <f t="shared" si="19"/>
        <v>2012.Accommodation - Establishments.Non-Serviced Accommodation 3</v>
      </c>
      <c r="D643" s="530" t="s">
        <v>231</v>
      </c>
      <c r="E643" s="530" t="s">
        <v>150</v>
      </c>
      <c r="F643" s="530" t="s">
        <v>158</v>
      </c>
      <c r="G643" s="530" t="s">
        <v>228</v>
      </c>
      <c r="H643" s="530"/>
      <c r="I643" s="530"/>
      <c r="J643" s="530"/>
      <c r="K643" s="530"/>
      <c r="L643" s="530"/>
      <c r="M643" s="530"/>
      <c r="N643" s="530"/>
      <c r="O643" s="530"/>
      <c r="P643" s="530"/>
      <c r="Q643" s="530"/>
      <c r="R643" s="530"/>
      <c r="S643" s="530"/>
      <c r="T643" s="530">
        <v>320</v>
      </c>
      <c r="U643" s="530" t="s">
        <v>149</v>
      </c>
    </row>
    <row r="644" spans="1:21" ht="15" customHeight="1" x14ac:dyDescent="0.3">
      <c r="A644" s="530" t="str">
        <f t="shared" si="18"/>
        <v>Gwynedd.2012.Accommodation - Establishments.Non-Serviced Accommodation 4</v>
      </c>
      <c r="B644" s="530" t="s">
        <v>219</v>
      </c>
      <c r="C644" s="530" t="str">
        <f t="shared" si="19"/>
        <v>2012.Accommodation - Establishments.Non-Serviced Accommodation 4</v>
      </c>
      <c r="D644" s="530" t="s">
        <v>231</v>
      </c>
      <c r="E644" s="530" t="s">
        <v>150</v>
      </c>
      <c r="F644" s="530" t="s">
        <v>159</v>
      </c>
      <c r="G644" s="530" t="s">
        <v>229</v>
      </c>
      <c r="H644" s="530"/>
      <c r="I644" s="530"/>
      <c r="J644" s="530"/>
      <c r="K644" s="530"/>
      <c r="L644" s="530"/>
      <c r="M644" s="530"/>
      <c r="N644" s="530"/>
      <c r="O644" s="530"/>
      <c r="P644" s="530"/>
      <c r="Q644" s="530"/>
      <c r="R644" s="530"/>
      <c r="S644" s="530"/>
      <c r="T644" s="530">
        <v>0</v>
      </c>
      <c r="U644" s="530" t="s">
        <v>149</v>
      </c>
    </row>
    <row r="645" spans="1:21" ht="15" customHeight="1" x14ac:dyDescent="0.3">
      <c r="A645" s="530" t="str">
        <f t="shared" si="18"/>
        <v>Gwynedd.2012.Accommodation - Establishments.Non-Serviced Accommodation 5</v>
      </c>
      <c r="B645" s="530" t="s">
        <v>219</v>
      </c>
      <c r="C645" s="530" t="str">
        <f t="shared" si="19"/>
        <v>2012.Accommodation - Establishments.Non-Serviced Accommodation 5</v>
      </c>
      <c r="D645" s="530" t="s">
        <v>231</v>
      </c>
      <c r="E645" s="530" t="s">
        <v>150</v>
      </c>
      <c r="F645" s="530" t="s">
        <v>160</v>
      </c>
      <c r="G645" s="530" t="s">
        <v>224</v>
      </c>
      <c r="H645" s="530"/>
      <c r="I645" s="530"/>
      <c r="J645" s="530"/>
      <c r="K645" s="530"/>
      <c r="L645" s="530"/>
      <c r="M645" s="530"/>
      <c r="N645" s="530"/>
      <c r="O645" s="530"/>
      <c r="P645" s="530"/>
      <c r="Q645" s="530"/>
      <c r="R645" s="530"/>
      <c r="S645" s="530"/>
      <c r="T645" s="530" t="s">
        <v>224</v>
      </c>
      <c r="U645" s="530" t="s">
        <v>149</v>
      </c>
    </row>
    <row r="646" spans="1:21" ht="15" customHeight="1" x14ac:dyDescent="0.3">
      <c r="A646" s="530" t="str">
        <f t="shared" si="18"/>
        <v>Gwynedd.2012.Accommodation - Establishments.Non-Serviced Accommodation Total</v>
      </c>
      <c r="B646" s="530" t="s">
        <v>219</v>
      </c>
      <c r="C646" s="530" t="str">
        <f t="shared" si="19"/>
        <v>2012.Accommodation - Establishments.Non-Serviced Accommodation Total</v>
      </c>
      <c r="D646" s="530" t="s">
        <v>231</v>
      </c>
      <c r="E646" s="530" t="s">
        <v>150</v>
      </c>
      <c r="F646" s="530" t="s">
        <v>162</v>
      </c>
      <c r="G646" s="530" t="s">
        <v>230</v>
      </c>
      <c r="H646" s="530"/>
      <c r="I646" s="530"/>
      <c r="J646" s="530"/>
      <c r="K646" s="530"/>
      <c r="L646" s="530"/>
      <c r="M646" s="530"/>
      <c r="N646" s="530"/>
      <c r="O646" s="530"/>
      <c r="P646" s="530"/>
      <c r="Q646" s="530"/>
      <c r="R646" s="530"/>
      <c r="S646" s="530"/>
      <c r="T646" s="530">
        <v>1298</v>
      </c>
      <c r="U646" s="530" t="s">
        <v>149</v>
      </c>
    </row>
    <row r="647" spans="1:21" ht="15" customHeight="1" x14ac:dyDescent="0.3">
      <c r="A647" s="530" t="str">
        <f t="shared" si="18"/>
        <v>Gwynedd.2012.Accommodation - Establishments.All Accommodation Types</v>
      </c>
      <c r="B647" s="530" t="s">
        <v>219</v>
      </c>
      <c r="C647" s="530" t="str">
        <f t="shared" si="19"/>
        <v>2012.Accommodation - Establishments.All Accommodation Types</v>
      </c>
      <c r="D647" s="530" t="s">
        <v>231</v>
      </c>
      <c r="E647" s="530" t="s">
        <v>150</v>
      </c>
      <c r="F647" s="530" t="s">
        <v>163</v>
      </c>
      <c r="G647" s="530" t="s">
        <v>38</v>
      </c>
      <c r="H647" s="530"/>
      <c r="I647" s="530"/>
      <c r="J647" s="530"/>
      <c r="K647" s="530"/>
      <c r="L647" s="530"/>
      <c r="M647" s="530"/>
      <c r="N647" s="530"/>
      <c r="O647" s="530"/>
      <c r="P647" s="530"/>
      <c r="Q647" s="530"/>
      <c r="R647" s="530"/>
      <c r="S647" s="530"/>
      <c r="T647" s="530">
        <v>1941</v>
      </c>
      <c r="U647" s="530" t="s">
        <v>149</v>
      </c>
    </row>
    <row r="648" spans="1:21" ht="13.8" x14ac:dyDescent="0.3">
      <c r="A648" s="530" t="str">
        <f t="shared" si="18"/>
        <v>Gwynedd.2012.Accommodation - Bed Spaces.Serviced Accommodation 1</v>
      </c>
      <c r="B648" s="530" t="s">
        <v>219</v>
      </c>
      <c r="C648" s="530" t="str">
        <f t="shared" si="19"/>
        <v>2012.Accommodation - Bed Spaces.Serviced Accommodation 1</v>
      </c>
      <c r="D648" s="530" t="s">
        <v>231</v>
      </c>
      <c r="E648" s="530" t="s">
        <v>164</v>
      </c>
      <c r="F648" s="530" t="s">
        <v>151</v>
      </c>
      <c r="G648" s="530" t="s">
        <v>221</v>
      </c>
      <c r="H648" s="530"/>
      <c r="I648" s="530"/>
      <c r="J648" s="530"/>
      <c r="K648" s="530"/>
      <c r="L648" s="530"/>
      <c r="M648" s="530"/>
      <c r="N648" s="530"/>
      <c r="O648" s="530"/>
      <c r="P648" s="530"/>
      <c r="Q648" s="530"/>
      <c r="R648" s="530"/>
      <c r="S648" s="530"/>
      <c r="T648" s="530">
        <v>1694</v>
      </c>
      <c r="U648" s="530" t="s">
        <v>58</v>
      </c>
    </row>
    <row r="649" spans="1:21" ht="13.8" x14ac:dyDescent="0.3">
      <c r="A649" s="530" t="str">
        <f t="shared" si="18"/>
        <v>Gwynedd.2012.Accommodation - Bed Spaces.Serviced Accommodation 2</v>
      </c>
      <c r="B649" s="530" t="s">
        <v>219</v>
      </c>
      <c r="C649" s="530" t="str">
        <f t="shared" si="19"/>
        <v>2012.Accommodation - Bed Spaces.Serviced Accommodation 2</v>
      </c>
      <c r="D649" s="530" t="s">
        <v>231</v>
      </c>
      <c r="E649" s="530" t="s">
        <v>164</v>
      </c>
      <c r="F649" s="530" t="s">
        <v>152</v>
      </c>
      <c r="G649" s="530" t="s">
        <v>222</v>
      </c>
      <c r="H649" s="530"/>
      <c r="I649" s="530"/>
      <c r="J649" s="530"/>
      <c r="K649" s="530"/>
      <c r="L649" s="530"/>
      <c r="M649" s="530"/>
      <c r="N649" s="530"/>
      <c r="O649" s="530"/>
      <c r="P649" s="530"/>
      <c r="Q649" s="530"/>
      <c r="R649" s="530"/>
      <c r="S649" s="530"/>
      <c r="T649" s="530">
        <v>2906</v>
      </c>
      <c r="U649" s="530" t="s">
        <v>58</v>
      </c>
    </row>
    <row r="650" spans="1:21" ht="13.8" x14ac:dyDescent="0.3">
      <c r="A650" s="530" t="str">
        <f t="shared" si="18"/>
        <v>Gwynedd.2012.Accommodation - Bed Spaces.Serviced Accommodation 3</v>
      </c>
      <c r="B650" s="530" t="s">
        <v>219</v>
      </c>
      <c r="C650" s="530" t="str">
        <f t="shared" si="19"/>
        <v>2012.Accommodation - Bed Spaces.Serviced Accommodation 3</v>
      </c>
      <c r="D650" s="530" t="s">
        <v>231</v>
      </c>
      <c r="E650" s="530" t="s">
        <v>164</v>
      </c>
      <c r="F650" s="530" t="s">
        <v>153</v>
      </c>
      <c r="G650" s="530" t="s">
        <v>223</v>
      </c>
      <c r="H650" s="530"/>
      <c r="I650" s="530"/>
      <c r="J650" s="530"/>
      <c r="K650" s="530"/>
      <c r="L650" s="530"/>
      <c r="M650" s="530"/>
      <c r="N650" s="530"/>
      <c r="O650" s="530"/>
      <c r="P650" s="530"/>
      <c r="Q650" s="530"/>
      <c r="R650" s="530"/>
      <c r="S650" s="530"/>
      <c r="T650" s="530">
        <v>4978</v>
      </c>
      <c r="U650" s="530" t="s">
        <v>58</v>
      </c>
    </row>
    <row r="651" spans="1:21" ht="13.8" x14ac:dyDescent="0.3">
      <c r="A651" s="530" t="str">
        <f t="shared" si="18"/>
        <v>Gwynedd.2012.Accommodation - Bed Spaces.Serviced Accommodation 4</v>
      </c>
      <c r="B651" s="530" t="s">
        <v>219</v>
      </c>
      <c r="C651" s="530" t="str">
        <f t="shared" si="19"/>
        <v>2012.Accommodation - Bed Spaces.Serviced Accommodation 4</v>
      </c>
      <c r="D651" s="530" t="s">
        <v>231</v>
      </c>
      <c r="E651" s="530" t="s">
        <v>164</v>
      </c>
      <c r="F651" s="530" t="s">
        <v>154</v>
      </c>
      <c r="G651" s="530" t="s">
        <v>224</v>
      </c>
      <c r="H651" s="530"/>
      <c r="I651" s="530"/>
      <c r="J651" s="530"/>
      <c r="K651" s="530"/>
      <c r="L651" s="530"/>
      <c r="M651" s="530"/>
      <c r="N651" s="530"/>
      <c r="O651" s="530"/>
      <c r="P651" s="530"/>
      <c r="Q651" s="530"/>
      <c r="R651" s="530"/>
      <c r="S651" s="530"/>
      <c r="T651" s="530" t="s">
        <v>224</v>
      </c>
      <c r="U651" s="530" t="s">
        <v>58</v>
      </c>
    </row>
    <row r="652" spans="1:21" ht="13.8" x14ac:dyDescent="0.3">
      <c r="A652" s="530" t="str">
        <f t="shared" si="18"/>
        <v>Gwynedd.2012.Accommodation - Bed Spaces.Serviced Accommodation 5</v>
      </c>
      <c r="B652" s="530" t="s">
        <v>219</v>
      </c>
      <c r="C652" s="530" t="str">
        <f t="shared" si="19"/>
        <v>2012.Accommodation - Bed Spaces.Serviced Accommodation 5</v>
      </c>
      <c r="D652" s="530" t="s">
        <v>231</v>
      </c>
      <c r="E652" s="530" t="s">
        <v>164</v>
      </c>
      <c r="F652" s="530" t="s">
        <v>155</v>
      </c>
      <c r="G652" s="530" t="s">
        <v>224</v>
      </c>
      <c r="H652" s="530"/>
      <c r="I652" s="530"/>
      <c r="J652" s="530"/>
      <c r="K652" s="530"/>
      <c r="L652" s="530"/>
      <c r="M652" s="530"/>
      <c r="N652" s="530"/>
      <c r="O652" s="530"/>
      <c r="P652" s="530"/>
      <c r="Q652" s="530"/>
      <c r="R652" s="530"/>
      <c r="S652" s="530"/>
      <c r="T652" s="530" t="s">
        <v>224</v>
      </c>
      <c r="U652" s="530" t="s">
        <v>58</v>
      </c>
    </row>
    <row r="653" spans="1:21" ht="13.8" x14ac:dyDescent="0.3">
      <c r="A653" s="530" t="str">
        <f t="shared" si="18"/>
        <v>Gwynedd.2012.Accommodation - Bed Spaces.Serviced Accommodation Total</v>
      </c>
      <c r="B653" s="530" t="s">
        <v>219</v>
      </c>
      <c r="C653" s="530" t="str">
        <f t="shared" si="19"/>
        <v>2012.Accommodation - Bed Spaces.Serviced Accommodation Total</v>
      </c>
      <c r="D653" s="530" t="s">
        <v>231</v>
      </c>
      <c r="E653" s="530" t="s">
        <v>164</v>
      </c>
      <c r="F653" s="530" t="s">
        <v>161</v>
      </c>
      <c r="G653" s="530" t="s">
        <v>225</v>
      </c>
      <c r="H653" s="530"/>
      <c r="I653" s="530"/>
      <c r="J653" s="530"/>
      <c r="K653" s="530"/>
      <c r="L653" s="530"/>
      <c r="M653" s="530"/>
      <c r="N653" s="530"/>
      <c r="O653" s="530"/>
      <c r="P653" s="530"/>
      <c r="Q653" s="530"/>
      <c r="R653" s="530"/>
      <c r="S653" s="530"/>
      <c r="T653" s="530">
        <v>9578</v>
      </c>
      <c r="U653" s="530" t="s">
        <v>58</v>
      </c>
    </row>
    <row r="654" spans="1:21" ht="13.8" x14ac:dyDescent="0.3">
      <c r="A654" s="530" t="str">
        <f t="shared" si="18"/>
        <v>Gwynedd.2012.Accommodation - Bed Spaces.Non-Serviced Accommodation 1</v>
      </c>
      <c r="B654" s="530" t="s">
        <v>219</v>
      </c>
      <c r="C654" s="530" t="str">
        <f t="shared" si="19"/>
        <v>2012.Accommodation - Bed Spaces.Non-Serviced Accommodation 1</v>
      </c>
      <c r="D654" s="530" t="s">
        <v>231</v>
      </c>
      <c r="E654" s="530" t="s">
        <v>164</v>
      </c>
      <c r="F654" s="530" t="s">
        <v>156</v>
      </c>
      <c r="G654" s="530" t="s">
        <v>226</v>
      </c>
      <c r="H654" s="530"/>
      <c r="I654" s="530"/>
      <c r="J654" s="530"/>
      <c r="K654" s="530"/>
      <c r="L654" s="530"/>
      <c r="M654" s="530"/>
      <c r="N654" s="530"/>
      <c r="O654" s="530"/>
      <c r="P654" s="530"/>
      <c r="Q654" s="530"/>
      <c r="R654" s="530"/>
      <c r="S654" s="530"/>
      <c r="T654" s="530">
        <v>12783</v>
      </c>
      <c r="U654" s="530" t="s">
        <v>58</v>
      </c>
    </row>
    <row r="655" spans="1:21" ht="13.8" x14ac:dyDescent="0.3">
      <c r="A655" s="530" t="str">
        <f t="shared" si="18"/>
        <v>Gwynedd.2012.Accommodation - Bed Spaces.Non-Serviced Accommodation 2</v>
      </c>
      <c r="B655" s="530" t="s">
        <v>219</v>
      </c>
      <c r="C655" s="530" t="str">
        <f t="shared" si="19"/>
        <v>2012.Accommodation - Bed Spaces.Non-Serviced Accommodation 2</v>
      </c>
      <c r="D655" s="530" t="s">
        <v>231</v>
      </c>
      <c r="E655" s="530" t="s">
        <v>164</v>
      </c>
      <c r="F655" s="530" t="s">
        <v>157</v>
      </c>
      <c r="G655" s="530" t="s">
        <v>227</v>
      </c>
      <c r="H655" s="530"/>
      <c r="I655" s="530"/>
      <c r="J655" s="530"/>
      <c r="K655" s="530"/>
      <c r="L655" s="530"/>
      <c r="M655" s="530"/>
      <c r="N655" s="530"/>
      <c r="O655" s="530"/>
      <c r="P655" s="530"/>
      <c r="Q655" s="530"/>
      <c r="R655" s="530"/>
      <c r="S655" s="530"/>
      <c r="T655" s="530">
        <v>6532</v>
      </c>
      <c r="U655" s="530" t="s">
        <v>58</v>
      </c>
    </row>
    <row r="656" spans="1:21" ht="13.8" x14ac:dyDescent="0.3">
      <c r="A656" s="530" t="str">
        <f t="shared" si="18"/>
        <v>Gwynedd.2012.Accommodation - Bed Spaces.Non-Serviced Accommodation 3</v>
      </c>
      <c r="B656" s="530" t="s">
        <v>219</v>
      </c>
      <c r="C656" s="530" t="str">
        <f t="shared" si="19"/>
        <v>2012.Accommodation - Bed Spaces.Non-Serviced Accommodation 3</v>
      </c>
      <c r="D656" s="530" t="s">
        <v>231</v>
      </c>
      <c r="E656" s="530" t="s">
        <v>164</v>
      </c>
      <c r="F656" s="530" t="s">
        <v>158</v>
      </c>
      <c r="G656" s="530" t="s">
        <v>228</v>
      </c>
      <c r="H656" s="530"/>
      <c r="I656" s="530"/>
      <c r="J656" s="530"/>
      <c r="K656" s="530"/>
      <c r="L656" s="530"/>
      <c r="M656" s="530"/>
      <c r="N656" s="530"/>
      <c r="O656" s="530"/>
      <c r="P656" s="530"/>
      <c r="Q656" s="530"/>
      <c r="R656" s="530"/>
      <c r="S656" s="530"/>
      <c r="T656" s="530">
        <v>43818</v>
      </c>
      <c r="U656" s="530" t="s">
        <v>58</v>
      </c>
    </row>
    <row r="657" spans="1:21" ht="13.8" x14ac:dyDescent="0.3">
      <c r="A657" s="530" t="str">
        <f t="shared" si="18"/>
        <v>Gwynedd.2012.Accommodation - Bed Spaces.Non-Serviced Accommodation 4</v>
      </c>
      <c r="B657" s="530" t="s">
        <v>219</v>
      </c>
      <c r="C657" s="530" t="str">
        <f t="shared" si="19"/>
        <v>2012.Accommodation - Bed Spaces.Non-Serviced Accommodation 4</v>
      </c>
      <c r="D657" s="530" t="s">
        <v>231</v>
      </c>
      <c r="E657" s="530" t="s">
        <v>164</v>
      </c>
      <c r="F657" s="530" t="s">
        <v>159</v>
      </c>
      <c r="G657" s="530" t="s">
        <v>229</v>
      </c>
      <c r="H657" s="530"/>
      <c r="I657" s="530"/>
      <c r="J657" s="530"/>
      <c r="K657" s="530"/>
      <c r="L657" s="530"/>
      <c r="M657" s="530"/>
      <c r="N657" s="530"/>
      <c r="O657" s="530"/>
      <c r="P657" s="530"/>
      <c r="Q657" s="530"/>
      <c r="R657" s="530"/>
      <c r="S657" s="530"/>
      <c r="T657" s="530">
        <v>40388</v>
      </c>
      <c r="U657" s="530" t="s">
        <v>58</v>
      </c>
    </row>
    <row r="658" spans="1:21" ht="13.8" x14ac:dyDescent="0.3">
      <c r="A658" s="530" t="str">
        <f t="shared" si="18"/>
        <v>Gwynedd.2012.Accommodation - Bed Spaces.Non-Serviced Accommodation 5</v>
      </c>
      <c r="B658" s="530" t="s">
        <v>219</v>
      </c>
      <c r="C658" s="530" t="str">
        <f t="shared" si="19"/>
        <v>2012.Accommodation - Bed Spaces.Non-Serviced Accommodation 5</v>
      </c>
      <c r="D658" s="530" t="s">
        <v>231</v>
      </c>
      <c r="E658" s="530" t="s">
        <v>164</v>
      </c>
      <c r="F658" s="530" t="s">
        <v>160</v>
      </c>
      <c r="G658" s="530" t="s">
        <v>224</v>
      </c>
      <c r="H658" s="530"/>
      <c r="I658" s="530"/>
      <c r="J658" s="530"/>
      <c r="K658" s="530"/>
      <c r="L658" s="530"/>
      <c r="M658" s="530"/>
      <c r="N658" s="530"/>
      <c r="O658" s="530"/>
      <c r="P658" s="530"/>
      <c r="Q658" s="530"/>
      <c r="R658" s="530"/>
      <c r="S658" s="530"/>
      <c r="T658" s="530" t="s">
        <v>224</v>
      </c>
      <c r="U658" s="530" t="s">
        <v>58</v>
      </c>
    </row>
    <row r="659" spans="1:21" ht="13.8" x14ac:dyDescent="0.3">
      <c r="A659" s="530" t="str">
        <f t="shared" si="18"/>
        <v>Gwynedd.2012.Accommodation - Bed Spaces.Non-Serviced Accommodation Total</v>
      </c>
      <c r="B659" s="530" t="s">
        <v>219</v>
      </c>
      <c r="C659" s="530" t="str">
        <f t="shared" si="19"/>
        <v>2012.Accommodation - Bed Spaces.Non-Serviced Accommodation Total</v>
      </c>
      <c r="D659" s="530" t="s">
        <v>231</v>
      </c>
      <c r="E659" s="530" t="s">
        <v>164</v>
      </c>
      <c r="F659" s="530" t="s">
        <v>162</v>
      </c>
      <c r="G659" s="530" t="s">
        <v>230</v>
      </c>
      <c r="H659" s="530"/>
      <c r="I659" s="530"/>
      <c r="J659" s="530"/>
      <c r="K659" s="530"/>
      <c r="L659" s="530"/>
      <c r="M659" s="530"/>
      <c r="N659" s="530"/>
      <c r="O659" s="530"/>
      <c r="P659" s="530"/>
      <c r="Q659" s="530"/>
      <c r="R659" s="530"/>
      <c r="S659" s="530"/>
      <c r="T659" s="530">
        <v>103521</v>
      </c>
      <c r="U659" s="530" t="s">
        <v>58</v>
      </c>
    </row>
    <row r="660" spans="1:21" ht="13.8" x14ac:dyDescent="0.3">
      <c r="A660" s="530" t="str">
        <f t="shared" si="18"/>
        <v>Gwynedd.2012.Accommodation - Bed Spaces.All Accommodation Types</v>
      </c>
      <c r="B660" s="530" t="s">
        <v>219</v>
      </c>
      <c r="C660" s="530" t="str">
        <f t="shared" si="19"/>
        <v>2012.Accommodation - Bed Spaces.All Accommodation Types</v>
      </c>
      <c r="D660" s="530" t="s">
        <v>231</v>
      </c>
      <c r="E660" s="530" t="s">
        <v>164</v>
      </c>
      <c r="F660" s="530" t="s">
        <v>163</v>
      </c>
      <c r="G660" s="530" t="s">
        <v>38</v>
      </c>
      <c r="H660" s="530"/>
      <c r="I660" s="530"/>
      <c r="J660" s="530"/>
      <c r="K660" s="530"/>
      <c r="L660" s="530"/>
      <c r="M660" s="530"/>
      <c r="N660" s="530"/>
      <c r="O660" s="530"/>
      <c r="P660" s="530"/>
      <c r="Q660" s="530"/>
      <c r="R660" s="530"/>
      <c r="S660" s="530"/>
      <c r="T660" s="530">
        <v>113099</v>
      </c>
      <c r="U660" s="530" t="s">
        <v>58</v>
      </c>
    </row>
    <row r="661" spans="1:21" ht="13.8" x14ac:dyDescent="0.3">
      <c r="A661" s="530" t="str">
        <f t="shared" si="18"/>
        <v>Gwynedd.2013.Accommodation - Establishments.Serviced Accommodation 1</v>
      </c>
      <c r="B661" s="530" t="s">
        <v>219</v>
      </c>
      <c r="C661" s="530" t="str">
        <f t="shared" si="19"/>
        <v>2013.Accommodation - Establishments.Serviced Accommodation 1</v>
      </c>
      <c r="D661" s="530" t="s">
        <v>232</v>
      </c>
      <c r="E661" s="530" t="s">
        <v>150</v>
      </c>
      <c r="F661" s="530" t="s">
        <v>151</v>
      </c>
      <c r="G661" s="530" t="s">
        <v>221</v>
      </c>
      <c r="H661" s="530"/>
      <c r="I661" s="530"/>
      <c r="J661" s="530"/>
      <c r="K661" s="530"/>
      <c r="L661" s="530"/>
      <c r="M661" s="530"/>
      <c r="N661" s="530"/>
      <c r="O661" s="530"/>
      <c r="P661" s="530"/>
      <c r="Q661" s="530"/>
      <c r="R661" s="530"/>
      <c r="S661" s="530"/>
      <c r="T661" s="530">
        <v>7</v>
      </c>
      <c r="U661" s="530" t="s">
        <v>149</v>
      </c>
    </row>
    <row r="662" spans="1:21" ht="13.8" x14ac:dyDescent="0.3">
      <c r="A662" s="530" t="str">
        <f t="shared" si="18"/>
        <v>Gwynedd.2013.Accommodation - Establishments.Serviced Accommodation 2</v>
      </c>
      <c r="B662" s="530" t="s">
        <v>219</v>
      </c>
      <c r="C662" s="530" t="str">
        <f t="shared" si="19"/>
        <v>2013.Accommodation - Establishments.Serviced Accommodation 2</v>
      </c>
      <c r="D662" s="530" t="s">
        <v>232</v>
      </c>
      <c r="E662" s="530" t="s">
        <v>150</v>
      </c>
      <c r="F662" s="530" t="s">
        <v>152</v>
      </c>
      <c r="G662" s="530" t="s">
        <v>222</v>
      </c>
      <c r="H662" s="530"/>
      <c r="I662" s="530"/>
      <c r="J662" s="530"/>
      <c r="K662" s="530"/>
      <c r="L662" s="530"/>
      <c r="M662" s="530"/>
      <c r="N662" s="530"/>
      <c r="O662" s="530"/>
      <c r="P662" s="530"/>
      <c r="Q662" s="530"/>
      <c r="R662" s="530"/>
      <c r="S662" s="530"/>
      <c r="T662" s="530">
        <v>51</v>
      </c>
      <c r="U662" s="530" t="s">
        <v>149</v>
      </c>
    </row>
    <row r="663" spans="1:21" ht="13.8" x14ac:dyDescent="0.3">
      <c r="A663" s="530" t="str">
        <f t="shared" si="18"/>
        <v>Gwynedd.2013.Accommodation - Establishments.Serviced Accommodation 3</v>
      </c>
      <c r="B663" s="530" t="s">
        <v>219</v>
      </c>
      <c r="C663" s="530" t="str">
        <f t="shared" si="19"/>
        <v>2013.Accommodation - Establishments.Serviced Accommodation 3</v>
      </c>
      <c r="D663" s="530" t="s">
        <v>232</v>
      </c>
      <c r="E663" s="530" t="s">
        <v>150</v>
      </c>
      <c r="F663" s="530" t="s">
        <v>153</v>
      </c>
      <c r="G663" s="530" t="s">
        <v>223</v>
      </c>
      <c r="H663" s="530"/>
      <c r="I663" s="530"/>
      <c r="J663" s="530"/>
      <c r="K663" s="530"/>
      <c r="L663" s="530"/>
      <c r="M663" s="530"/>
      <c r="N663" s="530"/>
      <c r="O663" s="530"/>
      <c r="P663" s="530"/>
      <c r="Q663" s="530"/>
      <c r="R663" s="530"/>
      <c r="S663" s="530"/>
      <c r="T663" s="530">
        <v>272</v>
      </c>
      <c r="U663" s="530" t="s">
        <v>149</v>
      </c>
    </row>
    <row r="664" spans="1:21" ht="13.8" x14ac:dyDescent="0.3">
      <c r="A664" s="530" t="str">
        <f t="shared" si="18"/>
        <v>Gwynedd.2013.Accommodation - Establishments.Serviced Accommodation 4</v>
      </c>
      <c r="B664" s="530" t="s">
        <v>219</v>
      </c>
      <c r="C664" s="530" t="str">
        <f t="shared" si="19"/>
        <v>2013.Accommodation - Establishments.Serviced Accommodation 4</v>
      </c>
      <c r="D664" s="530" t="s">
        <v>232</v>
      </c>
      <c r="E664" s="530" t="s">
        <v>150</v>
      </c>
      <c r="F664" s="530" t="s">
        <v>154</v>
      </c>
      <c r="G664" s="530" t="s">
        <v>224</v>
      </c>
      <c r="H664" s="530"/>
      <c r="I664" s="530"/>
      <c r="J664" s="530"/>
      <c r="K664" s="530"/>
      <c r="L664" s="530"/>
      <c r="M664" s="530"/>
      <c r="N664" s="530"/>
      <c r="O664" s="530"/>
      <c r="P664" s="530"/>
      <c r="Q664" s="530"/>
      <c r="R664" s="530"/>
      <c r="S664" s="530"/>
      <c r="T664" s="530" t="s">
        <v>224</v>
      </c>
      <c r="U664" s="530" t="s">
        <v>149</v>
      </c>
    </row>
    <row r="665" spans="1:21" ht="13.8" x14ac:dyDescent="0.3">
      <c r="A665" s="530" t="str">
        <f t="shared" si="18"/>
        <v>Gwynedd.2013.Accommodation - Establishments.Serviced Accommodation 5</v>
      </c>
      <c r="B665" s="530" t="s">
        <v>219</v>
      </c>
      <c r="C665" s="530" t="str">
        <f t="shared" si="19"/>
        <v>2013.Accommodation - Establishments.Serviced Accommodation 5</v>
      </c>
      <c r="D665" s="530" t="s">
        <v>232</v>
      </c>
      <c r="E665" s="530" t="s">
        <v>150</v>
      </c>
      <c r="F665" s="530" t="s">
        <v>155</v>
      </c>
      <c r="G665" s="530" t="s">
        <v>224</v>
      </c>
      <c r="H665" s="530"/>
      <c r="I665" s="530"/>
      <c r="J665" s="530"/>
      <c r="K665" s="530"/>
      <c r="L665" s="530"/>
      <c r="M665" s="530"/>
      <c r="N665" s="530"/>
      <c r="O665" s="530"/>
      <c r="P665" s="530"/>
      <c r="Q665" s="530"/>
      <c r="R665" s="530"/>
      <c r="S665" s="530"/>
      <c r="T665" s="530" t="s">
        <v>224</v>
      </c>
      <c r="U665" s="530" t="s">
        <v>149</v>
      </c>
    </row>
    <row r="666" spans="1:21" ht="15" customHeight="1" x14ac:dyDescent="0.3">
      <c r="A666" s="530" t="str">
        <f t="shared" si="18"/>
        <v>Gwynedd.2013.Accommodation - Establishments.Serviced Accommodation Total</v>
      </c>
      <c r="B666" s="530" t="s">
        <v>219</v>
      </c>
      <c r="C666" s="530" t="str">
        <f t="shared" si="19"/>
        <v>2013.Accommodation - Establishments.Serviced Accommodation Total</v>
      </c>
      <c r="D666" s="530" t="s">
        <v>232</v>
      </c>
      <c r="E666" s="530" t="s">
        <v>150</v>
      </c>
      <c r="F666" s="530" t="s">
        <v>161</v>
      </c>
      <c r="G666" s="530" t="s">
        <v>225</v>
      </c>
      <c r="H666" s="530"/>
      <c r="I666" s="530"/>
      <c r="J666" s="530"/>
      <c r="K666" s="530"/>
      <c r="L666" s="530"/>
      <c r="M666" s="530"/>
      <c r="N666" s="530"/>
      <c r="O666" s="530"/>
      <c r="P666" s="530"/>
      <c r="Q666" s="530"/>
      <c r="R666" s="530"/>
      <c r="S666" s="530"/>
      <c r="T666" s="530">
        <v>330</v>
      </c>
      <c r="U666" s="530" t="s">
        <v>149</v>
      </c>
    </row>
    <row r="667" spans="1:21" ht="15" customHeight="1" x14ac:dyDescent="0.3">
      <c r="A667" s="530" t="str">
        <f t="shared" si="18"/>
        <v>Gwynedd.2013.Accommodation - Establishments.Non-Serviced Accommodation 1</v>
      </c>
      <c r="B667" s="530" t="s">
        <v>219</v>
      </c>
      <c r="C667" s="530" t="str">
        <f t="shared" si="19"/>
        <v>2013.Accommodation - Establishments.Non-Serviced Accommodation 1</v>
      </c>
      <c r="D667" s="530" t="s">
        <v>232</v>
      </c>
      <c r="E667" s="530" t="s">
        <v>150</v>
      </c>
      <c r="F667" s="530" t="s">
        <v>156</v>
      </c>
      <c r="G667" s="530" t="s">
        <v>226</v>
      </c>
      <c r="H667" s="530"/>
      <c r="I667" s="530"/>
      <c r="J667" s="530"/>
      <c r="K667" s="530"/>
      <c r="L667" s="530"/>
      <c r="M667" s="530"/>
      <c r="N667" s="530"/>
      <c r="O667" s="530"/>
      <c r="P667" s="530"/>
      <c r="Q667" s="530"/>
      <c r="R667" s="530"/>
      <c r="S667" s="530"/>
      <c r="T667" s="530">
        <v>1820</v>
      </c>
      <c r="U667" s="530" t="s">
        <v>149</v>
      </c>
    </row>
    <row r="668" spans="1:21" ht="15" customHeight="1" x14ac:dyDescent="0.3">
      <c r="A668" s="530" t="str">
        <f t="shared" si="18"/>
        <v>Gwynedd.2013.Accommodation - Establishments.Non-Serviced Accommodation 2</v>
      </c>
      <c r="B668" s="530" t="s">
        <v>219</v>
      </c>
      <c r="C668" s="530" t="str">
        <f t="shared" si="19"/>
        <v>2013.Accommodation - Establishments.Non-Serviced Accommodation 2</v>
      </c>
      <c r="D668" s="530" t="s">
        <v>232</v>
      </c>
      <c r="E668" s="530" t="s">
        <v>150</v>
      </c>
      <c r="F668" s="530" t="s">
        <v>157</v>
      </c>
      <c r="G668" s="530" t="s">
        <v>227</v>
      </c>
      <c r="H668" s="530"/>
      <c r="I668" s="530"/>
      <c r="J668" s="530"/>
      <c r="K668" s="530"/>
      <c r="L668" s="530"/>
      <c r="M668" s="530"/>
      <c r="N668" s="530"/>
      <c r="O668" s="530"/>
      <c r="P668" s="530"/>
      <c r="Q668" s="530"/>
      <c r="R668" s="530"/>
      <c r="S668" s="530"/>
      <c r="T668" s="530">
        <v>125</v>
      </c>
      <c r="U668" s="530" t="s">
        <v>149</v>
      </c>
    </row>
    <row r="669" spans="1:21" ht="15" customHeight="1" x14ac:dyDescent="0.3">
      <c r="A669" s="530" t="str">
        <f t="shared" si="18"/>
        <v>Gwynedd.2013.Accommodation - Establishments.Non-Serviced Accommodation 3</v>
      </c>
      <c r="B669" s="530" t="s">
        <v>219</v>
      </c>
      <c r="C669" s="530" t="str">
        <f t="shared" si="19"/>
        <v>2013.Accommodation - Establishments.Non-Serviced Accommodation 3</v>
      </c>
      <c r="D669" s="530" t="s">
        <v>232</v>
      </c>
      <c r="E669" s="530" t="s">
        <v>150</v>
      </c>
      <c r="F669" s="530" t="s">
        <v>158</v>
      </c>
      <c r="G669" s="530" t="s">
        <v>228</v>
      </c>
      <c r="H669" s="530"/>
      <c r="I669" s="530"/>
      <c r="J669" s="530"/>
      <c r="K669" s="530"/>
      <c r="L669" s="530"/>
      <c r="M669" s="530"/>
      <c r="N669" s="530"/>
      <c r="O669" s="530"/>
      <c r="P669" s="530"/>
      <c r="Q669" s="530"/>
      <c r="R669" s="530"/>
      <c r="S669" s="530"/>
      <c r="T669" s="530">
        <v>162</v>
      </c>
      <c r="U669" s="530" t="s">
        <v>149</v>
      </c>
    </row>
    <row r="670" spans="1:21" ht="15" customHeight="1" x14ac:dyDescent="0.3">
      <c r="A670" s="530" t="str">
        <f t="shared" si="18"/>
        <v>Gwynedd.2013.Accommodation - Establishments.Non-Serviced Accommodation 4</v>
      </c>
      <c r="B670" s="530" t="s">
        <v>219</v>
      </c>
      <c r="C670" s="530" t="str">
        <f t="shared" si="19"/>
        <v>2013.Accommodation - Establishments.Non-Serviced Accommodation 4</v>
      </c>
      <c r="D670" s="530" t="s">
        <v>232</v>
      </c>
      <c r="E670" s="530" t="s">
        <v>150</v>
      </c>
      <c r="F670" s="530" t="s">
        <v>159</v>
      </c>
      <c r="G670" s="530" t="s">
        <v>229</v>
      </c>
      <c r="H670" s="530"/>
      <c r="I670" s="530"/>
      <c r="J670" s="530"/>
      <c r="K670" s="530"/>
      <c r="L670" s="530"/>
      <c r="M670" s="530"/>
      <c r="N670" s="530"/>
      <c r="O670" s="530"/>
      <c r="P670" s="530"/>
      <c r="Q670" s="530"/>
      <c r="R670" s="530"/>
      <c r="S670" s="530"/>
      <c r="T670" s="530">
        <v>0</v>
      </c>
      <c r="U670" s="530" t="s">
        <v>149</v>
      </c>
    </row>
    <row r="671" spans="1:21" ht="15" customHeight="1" x14ac:dyDescent="0.3">
      <c r="A671" s="530" t="str">
        <f t="shared" si="18"/>
        <v>Gwynedd.2013.Accommodation - Establishments.Non-Serviced Accommodation 5</v>
      </c>
      <c r="B671" s="530" t="s">
        <v>219</v>
      </c>
      <c r="C671" s="530" t="str">
        <f t="shared" si="19"/>
        <v>2013.Accommodation - Establishments.Non-Serviced Accommodation 5</v>
      </c>
      <c r="D671" s="530" t="s">
        <v>232</v>
      </c>
      <c r="E671" s="530" t="s">
        <v>150</v>
      </c>
      <c r="F671" s="530" t="s">
        <v>160</v>
      </c>
      <c r="G671" s="530" t="s">
        <v>224</v>
      </c>
      <c r="H671" s="530"/>
      <c r="I671" s="530"/>
      <c r="J671" s="530"/>
      <c r="K671" s="530"/>
      <c r="L671" s="530"/>
      <c r="M671" s="530"/>
      <c r="N671" s="530"/>
      <c r="O671" s="530"/>
      <c r="P671" s="530"/>
      <c r="Q671" s="530"/>
      <c r="R671" s="530"/>
      <c r="S671" s="530"/>
      <c r="T671" s="530" t="s">
        <v>224</v>
      </c>
      <c r="U671" s="530" t="s">
        <v>149</v>
      </c>
    </row>
    <row r="672" spans="1:21" ht="15" customHeight="1" x14ac:dyDescent="0.3">
      <c r="A672" s="530" t="str">
        <f t="shared" si="18"/>
        <v>Gwynedd.2013.Accommodation - Establishments.Non-Serviced Accommodation Total</v>
      </c>
      <c r="B672" s="530" t="s">
        <v>219</v>
      </c>
      <c r="C672" s="530" t="str">
        <f t="shared" si="19"/>
        <v>2013.Accommodation - Establishments.Non-Serviced Accommodation Total</v>
      </c>
      <c r="D672" s="530" t="s">
        <v>232</v>
      </c>
      <c r="E672" s="530" t="s">
        <v>150</v>
      </c>
      <c r="F672" s="530" t="s">
        <v>162</v>
      </c>
      <c r="G672" s="530" t="s">
        <v>230</v>
      </c>
      <c r="H672" s="530"/>
      <c r="I672" s="530"/>
      <c r="J672" s="530"/>
      <c r="K672" s="530"/>
      <c r="L672" s="530"/>
      <c r="M672" s="530"/>
      <c r="N672" s="530"/>
      <c r="O672" s="530"/>
      <c r="P672" s="530"/>
      <c r="Q672" s="530"/>
      <c r="R672" s="530"/>
      <c r="S672" s="530"/>
      <c r="T672" s="530">
        <v>2107</v>
      </c>
      <c r="U672" s="530" t="s">
        <v>149</v>
      </c>
    </row>
    <row r="673" spans="1:21" ht="15" customHeight="1" x14ac:dyDescent="0.3">
      <c r="A673" s="530" t="str">
        <f t="shared" si="18"/>
        <v>Gwynedd.2013.Accommodation - Establishments.All Accommodation Types</v>
      </c>
      <c r="B673" s="530" t="s">
        <v>219</v>
      </c>
      <c r="C673" s="530" t="str">
        <f t="shared" si="19"/>
        <v>2013.Accommodation - Establishments.All Accommodation Types</v>
      </c>
      <c r="D673" s="530" t="s">
        <v>232</v>
      </c>
      <c r="E673" s="530" t="s">
        <v>150</v>
      </c>
      <c r="F673" s="530" t="s">
        <v>163</v>
      </c>
      <c r="G673" s="530" t="s">
        <v>38</v>
      </c>
      <c r="H673" s="530"/>
      <c r="I673" s="530"/>
      <c r="J673" s="530"/>
      <c r="K673" s="530"/>
      <c r="L673" s="530"/>
      <c r="M673" s="530"/>
      <c r="N673" s="530"/>
      <c r="O673" s="530"/>
      <c r="P673" s="530"/>
      <c r="Q673" s="530"/>
      <c r="R673" s="530"/>
      <c r="S673" s="530"/>
      <c r="T673" s="530">
        <v>2437</v>
      </c>
      <c r="U673" s="530" t="s">
        <v>149</v>
      </c>
    </row>
    <row r="674" spans="1:21" ht="13.8" x14ac:dyDescent="0.3">
      <c r="A674" s="530" t="str">
        <f t="shared" si="18"/>
        <v>Gwynedd.2013.Accommodation - Bed Spaces.Serviced Accommodation 1</v>
      </c>
      <c r="B674" s="530" t="s">
        <v>219</v>
      </c>
      <c r="C674" s="530" t="str">
        <f t="shared" si="19"/>
        <v>2013.Accommodation - Bed Spaces.Serviced Accommodation 1</v>
      </c>
      <c r="D674" s="530" t="s">
        <v>232</v>
      </c>
      <c r="E674" s="530" t="s">
        <v>164</v>
      </c>
      <c r="F674" s="530" t="s">
        <v>151</v>
      </c>
      <c r="G674" s="530" t="s">
        <v>221</v>
      </c>
      <c r="H674" s="530"/>
      <c r="I674" s="530"/>
      <c r="J674" s="530"/>
      <c r="K674" s="530"/>
      <c r="L674" s="530"/>
      <c r="M674" s="530"/>
      <c r="N674" s="530"/>
      <c r="O674" s="530"/>
      <c r="P674" s="530"/>
      <c r="Q674" s="530"/>
      <c r="R674" s="530"/>
      <c r="S674" s="530"/>
      <c r="T674" s="530">
        <v>1391</v>
      </c>
      <c r="U674" s="530" t="s">
        <v>58</v>
      </c>
    </row>
    <row r="675" spans="1:21" ht="13.8" x14ac:dyDescent="0.3">
      <c r="A675" s="530" t="str">
        <f t="shared" si="18"/>
        <v>Gwynedd.2013.Accommodation - Bed Spaces.Serviced Accommodation 2</v>
      </c>
      <c r="B675" s="530" t="s">
        <v>219</v>
      </c>
      <c r="C675" s="530" t="str">
        <f t="shared" si="19"/>
        <v>2013.Accommodation - Bed Spaces.Serviced Accommodation 2</v>
      </c>
      <c r="D675" s="530" t="s">
        <v>232</v>
      </c>
      <c r="E675" s="530" t="s">
        <v>164</v>
      </c>
      <c r="F675" s="530" t="s">
        <v>152</v>
      </c>
      <c r="G675" s="530" t="s">
        <v>222</v>
      </c>
      <c r="H675" s="530"/>
      <c r="I675" s="530"/>
      <c r="J675" s="530"/>
      <c r="K675" s="530"/>
      <c r="L675" s="530"/>
      <c r="M675" s="530"/>
      <c r="N675" s="530"/>
      <c r="O675" s="530"/>
      <c r="P675" s="530"/>
      <c r="Q675" s="530"/>
      <c r="R675" s="530"/>
      <c r="S675" s="530"/>
      <c r="T675" s="530">
        <v>2069</v>
      </c>
      <c r="U675" s="530" t="s">
        <v>58</v>
      </c>
    </row>
    <row r="676" spans="1:21" ht="13.8" x14ac:dyDescent="0.3">
      <c r="A676" s="530" t="str">
        <f t="shared" si="18"/>
        <v>Gwynedd.2013.Accommodation - Bed Spaces.Serviced Accommodation 3</v>
      </c>
      <c r="B676" s="530" t="s">
        <v>219</v>
      </c>
      <c r="C676" s="530" t="str">
        <f t="shared" si="19"/>
        <v>2013.Accommodation - Bed Spaces.Serviced Accommodation 3</v>
      </c>
      <c r="D676" s="530" t="s">
        <v>232</v>
      </c>
      <c r="E676" s="530" t="s">
        <v>164</v>
      </c>
      <c r="F676" s="530" t="s">
        <v>153</v>
      </c>
      <c r="G676" s="530" t="s">
        <v>223</v>
      </c>
      <c r="H676" s="530"/>
      <c r="I676" s="530"/>
      <c r="J676" s="530"/>
      <c r="K676" s="530"/>
      <c r="L676" s="530"/>
      <c r="M676" s="530"/>
      <c r="N676" s="530"/>
      <c r="O676" s="530"/>
      <c r="P676" s="530"/>
      <c r="Q676" s="530"/>
      <c r="R676" s="530"/>
      <c r="S676" s="530"/>
      <c r="T676" s="530">
        <v>2725</v>
      </c>
      <c r="U676" s="530" t="s">
        <v>58</v>
      </c>
    </row>
    <row r="677" spans="1:21" ht="13.8" x14ac:dyDescent="0.3">
      <c r="A677" s="530" t="str">
        <f t="shared" si="18"/>
        <v>Gwynedd.2013.Accommodation - Bed Spaces.Serviced Accommodation 4</v>
      </c>
      <c r="B677" s="530" t="s">
        <v>219</v>
      </c>
      <c r="C677" s="530" t="str">
        <f t="shared" si="19"/>
        <v>2013.Accommodation - Bed Spaces.Serviced Accommodation 4</v>
      </c>
      <c r="D677" s="530" t="s">
        <v>232</v>
      </c>
      <c r="E677" s="530" t="s">
        <v>164</v>
      </c>
      <c r="F677" s="530" t="s">
        <v>154</v>
      </c>
      <c r="G677" s="530" t="s">
        <v>224</v>
      </c>
      <c r="H677" s="530"/>
      <c r="I677" s="530"/>
      <c r="J677" s="530"/>
      <c r="K677" s="530"/>
      <c r="L677" s="530"/>
      <c r="M677" s="530"/>
      <c r="N677" s="530"/>
      <c r="O677" s="530"/>
      <c r="P677" s="530"/>
      <c r="Q677" s="530"/>
      <c r="R677" s="530"/>
      <c r="S677" s="530"/>
      <c r="T677" s="530" t="s">
        <v>224</v>
      </c>
      <c r="U677" s="530" t="s">
        <v>58</v>
      </c>
    </row>
    <row r="678" spans="1:21" ht="13.8" x14ac:dyDescent="0.3">
      <c r="A678" s="530" t="str">
        <f t="shared" si="18"/>
        <v>Gwynedd.2013.Accommodation - Bed Spaces.Serviced Accommodation 5</v>
      </c>
      <c r="B678" s="530" t="s">
        <v>219</v>
      </c>
      <c r="C678" s="530" t="str">
        <f t="shared" si="19"/>
        <v>2013.Accommodation - Bed Spaces.Serviced Accommodation 5</v>
      </c>
      <c r="D678" s="530" t="s">
        <v>232</v>
      </c>
      <c r="E678" s="530" t="s">
        <v>164</v>
      </c>
      <c r="F678" s="530" t="s">
        <v>155</v>
      </c>
      <c r="G678" s="530" t="s">
        <v>224</v>
      </c>
      <c r="H678" s="530"/>
      <c r="I678" s="530"/>
      <c r="J678" s="530"/>
      <c r="K678" s="530"/>
      <c r="L678" s="530"/>
      <c r="M678" s="530"/>
      <c r="N678" s="530"/>
      <c r="O678" s="530"/>
      <c r="P678" s="530"/>
      <c r="Q678" s="530"/>
      <c r="R678" s="530"/>
      <c r="S678" s="530"/>
      <c r="T678" s="530" t="s">
        <v>224</v>
      </c>
      <c r="U678" s="530" t="s">
        <v>58</v>
      </c>
    </row>
    <row r="679" spans="1:21" ht="13.8" x14ac:dyDescent="0.3">
      <c r="A679" s="530" t="str">
        <f t="shared" si="18"/>
        <v>Gwynedd.2013.Accommodation - Bed Spaces.Serviced Accommodation Total</v>
      </c>
      <c r="B679" s="530" t="s">
        <v>219</v>
      </c>
      <c r="C679" s="530" t="str">
        <f t="shared" si="19"/>
        <v>2013.Accommodation - Bed Spaces.Serviced Accommodation Total</v>
      </c>
      <c r="D679" s="530" t="s">
        <v>232</v>
      </c>
      <c r="E679" s="530" t="s">
        <v>164</v>
      </c>
      <c r="F679" s="530" t="s">
        <v>161</v>
      </c>
      <c r="G679" s="530" t="s">
        <v>225</v>
      </c>
      <c r="H679" s="530"/>
      <c r="I679" s="530"/>
      <c r="J679" s="530"/>
      <c r="K679" s="530"/>
      <c r="L679" s="530"/>
      <c r="M679" s="530"/>
      <c r="N679" s="530"/>
      <c r="O679" s="530"/>
      <c r="P679" s="530"/>
      <c r="Q679" s="530"/>
      <c r="R679" s="530"/>
      <c r="S679" s="530"/>
      <c r="T679" s="530">
        <v>6185</v>
      </c>
      <c r="U679" s="530" t="s">
        <v>58</v>
      </c>
    </row>
    <row r="680" spans="1:21" ht="13.8" x14ac:dyDescent="0.3">
      <c r="A680" s="530" t="str">
        <f t="shared" si="18"/>
        <v>Gwynedd.2013.Accommodation - Bed Spaces.Non-Serviced Accommodation 1</v>
      </c>
      <c r="B680" s="530" t="s">
        <v>219</v>
      </c>
      <c r="C680" s="530" t="str">
        <f t="shared" si="19"/>
        <v>2013.Accommodation - Bed Spaces.Non-Serviced Accommodation 1</v>
      </c>
      <c r="D680" s="530" t="s">
        <v>232</v>
      </c>
      <c r="E680" s="530" t="s">
        <v>164</v>
      </c>
      <c r="F680" s="530" t="s">
        <v>156</v>
      </c>
      <c r="G680" s="530" t="s">
        <v>226</v>
      </c>
      <c r="H680" s="530"/>
      <c r="I680" s="530"/>
      <c r="J680" s="530"/>
      <c r="K680" s="530"/>
      <c r="L680" s="530"/>
      <c r="M680" s="530"/>
      <c r="N680" s="530"/>
      <c r="O680" s="530"/>
      <c r="P680" s="530"/>
      <c r="Q680" s="530"/>
      <c r="R680" s="530"/>
      <c r="S680" s="530"/>
      <c r="T680" s="530">
        <v>12587</v>
      </c>
      <c r="U680" s="530" t="s">
        <v>58</v>
      </c>
    </row>
    <row r="681" spans="1:21" ht="13.8" x14ac:dyDescent="0.3">
      <c r="A681" s="530" t="str">
        <f t="shared" si="18"/>
        <v>Gwynedd.2013.Accommodation - Bed Spaces.Non-Serviced Accommodation 2</v>
      </c>
      <c r="B681" s="530" t="s">
        <v>219</v>
      </c>
      <c r="C681" s="530" t="str">
        <f t="shared" si="19"/>
        <v>2013.Accommodation - Bed Spaces.Non-Serviced Accommodation 2</v>
      </c>
      <c r="D681" s="530" t="s">
        <v>232</v>
      </c>
      <c r="E681" s="530" t="s">
        <v>164</v>
      </c>
      <c r="F681" s="530" t="s">
        <v>157</v>
      </c>
      <c r="G681" s="530" t="s">
        <v>227</v>
      </c>
      <c r="H681" s="530"/>
      <c r="I681" s="530"/>
      <c r="J681" s="530"/>
      <c r="K681" s="530"/>
      <c r="L681" s="530"/>
      <c r="M681" s="530"/>
      <c r="N681" s="530"/>
      <c r="O681" s="530"/>
      <c r="P681" s="530"/>
      <c r="Q681" s="530"/>
      <c r="R681" s="530"/>
      <c r="S681" s="530"/>
      <c r="T681" s="530">
        <v>8010.8884688090693</v>
      </c>
      <c r="U681" s="530" t="s">
        <v>58</v>
      </c>
    </row>
    <row r="682" spans="1:21" ht="13.8" x14ac:dyDescent="0.3">
      <c r="A682" s="530" t="str">
        <f t="shared" si="18"/>
        <v>Gwynedd.2013.Accommodation - Bed Spaces.Non-Serviced Accommodation 3</v>
      </c>
      <c r="B682" s="530" t="s">
        <v>219</v>
      </c>
      <c r="C682" s="530" t="str">
        <f t="shared" si="19"/>
        <v>2013.Accommodation - Bed Spaces.Non-Serviced Accommodation 3</v>
      </c>
      <c r="D682" s="530" t="s">
        <v>232</v>
      </c>
      <c r="E682" s="530" t="s">
        <v>164</v>
      </c>
      <c r="F682" s="530" t="s">
        <v>158</v>
      </c>
      <c r="G682" s="530" t="s">
        <v>228</v>
      </c>
      <c r="H682" s="530"/>
      <c r="I682" s="530"/>
      <c r="J682" s="530"/>
      <c r="K682" s="530"/>
      <c r="L682" s="530"/>
      <c r="M682" s="530"/>
      <c r="N682" s="530"/>
      <c r="O682" s="530"/>
      <c r="P682" s="530"/>
      <c r="Q682" s="530"/>
      <c r="R682" s="530"/>
      <c r="S682" s="530"/>
      <c r="T682" s="530">
        <v>30360</v>
      </c>
      <c r="U682" s="530" t="s">
        <v>58</v>
      </c>
    </row>
    <row r="683" spans="1:21" ht="13.8" x14ac:dyDescent="0.3">
      <c r="A683" s="530" t="str">
        <f t="shared" si="18"/>
        <v>Gwynedd.2013.Accommodation - Bed Spaces.Non-Serviced Accommodation 4</v>
      </c>
      <c r="B683" s="530" t="s">
        <v>219</v>
      </c>
      <c r="C683" s="530" t="str">
        <f t="shared" si="19"/>
        <v>2013.Accommodation - Bed Spaces.Non-Serviced Accommodation 4</v>
      </c>
      <c r="D683" s="530" t="s">
        <v>232</v>
      </c>
      <c r="E683" s="530" t="s">
        <v>164</v>
      </c>
      <c r="F683" s="530" t="s">
        <v>159</v>
      </c>
      <c r="G683" s="530" t="s">
        <v>229</v>
      </c>
      <c r="H683" s="530"/>
      <c r="I683" s="530"/>
      <c r="J683" s="530"/>
      <c r="K683" s="530"/>
      <c r="L683" s="530"/>
      <c r="M683" s="530"/>
      <c r="N683" s="530"/>
      <c r="O683" s="530"/>
      <c r="P683" s="530"/>
      <c r="Q683" s="530"/>
      <c r="R683" s="530"/>
      <c r="S683" s="530"/>
      <c r="T683" s="530">
        <v>47484.910904595446</v>
      </c>
      <c r="U683" s="530" t="s">
        <v>58</v>
      </c>
    </row>
    <row r="684" spans="1:21" ht="13.8" x14ac:dyDescent="0.3">
      <c r="A684" s="530" t="str">
        <f t="shared" si="18"/>
        <v>Gwynedd.2013.Accommodation - Bed Spaces.Non-Serviced Accommodation 5</v>
      </c>
      <c r="B684" s="530" t="s">
        <v>219</v>
      </c>
      <c r="C684" s="530" t="str">
        <f t="shared" si="19"/>
        <v>2013.Accommodation - Bed Spaces.Non-Serviced Accommodation 5</v>
      </c>
      <c r="D684" s="530" t="s">
        <v>232</v>
      </c>
      <c r="E684" s="530" t="s">
        <v>164</v>
      </c>
      <c r="F684" s="530" t="s">
        <v>160</v>
      </c>
      <c r="G684" s="530" t="s">
        <v>224</v>
      </c>
      <c r="H684" s="530"/>
      <c r="I684" s="530"/>
      <c r="J684" s="530"/>
      <c r="K684" s="530"/>
      <c r="L684" s="530"/>
      <c r="M684" s="530"/>
      <c r="N684" s="530"/>
      <c r="O684" s="530"/>
      <c r="P684" s="530"/>
      <c r="Q684" s="530"/>
      <c r="R684" s="530"/>
      <c r="S684" s="530"/>
      <c r="T684" s="530" t="s">
        <v>224</v>
      </c>
      <c r="U684" s="530" t="s">
        <v>58</v>
      </c>
    </row>
    <row r="685" spans="1:21" ht="13.8" x14ac:dyDescent="0.3">
      <c r="A685" s="530" t="str">
        <f t="shared" si="18"/>
        <v>Gwynedd.2013.Accommodation - Bed Spaces.Non-Serviced Accommodation Total</v>
      </c>
      <c r="B685" s="530" t="s">
        <v>219</v>
      </c>
      <c r="C685" s="530" t="str">
        <f t="shared" si="19"/>
        <v>2013.Accommodation - Bed Spaces.Non-Serviced Accommodation Total</v>
      </c>
      <c r="D685" s="530" t="s">
        <v>232</v>
      </c>
      <c r="E685" s="530" t="s">
        <v>164</v>
      </c>
      <c r="F685" s="530" t="s">
        <v>162</v>
      </c>
      <c r="G685" s="530" t="s">
        <v>230</v>
      </c>
      <c r="H685" s="530"/>
      <c r="I685" s="530"/>
      <c r="J685" s="530"/>
      <c r="K685" s="530"/>
      <c r="L685" s="530"/>
      <c r="M685" s="530"/>
      <c r="N685" s="530"/>
      <c r="O685" s="530"/>
      <c r="P685" s="530"/>
      <c r="Q685" s="530"/>
      <c r="R685" s="530"/>
      <c r="S685" s="530"/>
      <c r="T685" s="530">
        <v>98442.799373404516</v>
      </c>
      <c r="U685" s="530" t="s">
        <v>58</v>
      </c>
    </row>
    <row r="686" spans="1:21" ht="13.8" x14ac:dyDescent="0.3">
      <c r="A686" s="530" t="str">
        <f t="shared" si="18"/>
        <v>Gwynedd.2013.Accommodation - Bed Spaces.All Accommodation Types</v>
      </c>
      <c r="B686" s="530" t="s">
        <v>219</v>
      </c>
      <c r="C686" s="530" t="str">
        <f t="shared" si="19"/>
        <v>2013.Accommodation - Bed Spaces.All Accommodation Types</v>
      </c>
      <c r="D686" s="530" t="s">
        <v>232</v>
      </c>
      <c r="E686" s="530" t="s">
        <v>164</v>
      </c>
      <c r="F686" s="530" t="s">
        <v>163</v>
      </c>
      <c r="G686" s="530" t="s">
        <v>38</v>
      </c>
      <c r="H686" s="530"/>
      <c r="I686" s="530"/>
      <c r="J686" s="530"/>
      <c r="K686" s="530"/>
      <c r="L686" s="530"/>
      <c r="M686" s="530"/>
      <c r="N686" s="530"/>
      <c r="O686" s="530"/>
      <c r="P686" s="530"/>
      <c r="Q686" s="530"/>
      <c r="R686" s="530"/>
      <c r="S686" s="530"/>
      <c r="T686" s="530">
        <v>104627.79937340452</v>
      </c>
      <c r="U686" s="530" t="s">
        <v>58</v>
      </c>
    </row>
    <row r="687" spans="1:21" ht="13.8" x14ac:dyDescent="0.3">
      <c r="A687" s="530" t="str">
        <f t="shared" si="18"/>
        <v>Gwynedd.2014.Accommodation - Establishments.Serviced Accommodation 1</v>
      </c>
      <c r="B687" s="530" t="s">
        <v>219</v>
      </c>
      <c r="C687" s="530" t="str">
        <f t="shared" si="19"/>
        <v>2014.Accommodation - Establishments.Serviced Accommodation 1</v>
      </c>
      <c r="D687" s="530" t="s">
        <v>233</v>
      </c>
      <c r="E687" s="530" t="s">
        <v>150</v>
      </c>
      <c r="F687" s="530" t="s">
        <v>151</v>
      </c>
      <c r="G687" s="530" t="s">
        <v>221</v>
      </c>
      <c r="H687" s="530"/>
      <c r="I687" s="530"/>
      <c r="J687" s="530"/>
      <c r="K687" s="530"/>
      <c r="L687" s="530"/>
      <c r="M687" s="530"/>
      <c r="N687" s="530"/>
      <c r="O687" s="530"/>
      <c r="P687" s="530"/>
      <c r="Q687" s="530"/>
      <c r="R687" s="530"/>
      <c r="S687" s="530"/>
      <c r="T687" s="530">
        <v>7</v>
      </c>
      <c r="U687" s="530" t="s">
        <v>149</v>
      </c>
    </row>
    <row r="688" spans="1:21" ht="13.8" x14ac:dyDescent="0.3">
      <c r="A688" s="530" t="str">
        <f t="shared" si="18"/>
        <v>Gwynedd.2014.Accommodation - Establishments.Serviced Accommodation 2</v>
      </c>
      <c r="B688" s="530" t="s">
        <v>219</v>
      </c>
      <c r="C688" s="530" t="str">
        <f t="shared" si="19"/>
        <v>2014.Accommodation - Establishments.Serviced Accommodation 2</v>
      </c>
      <c r="D688" s="530" t="s">
        <v>233</v>
      </c>
      <c r="E688" s="530" t="s">
        <v>150</v>
      </c>
      <c r="F688" s="530" t="s">
        <v>152</v>
      </c>
      <c r="G688" s="530" t="s">
        <v>222</v>
      </c>
      <c r="H688" s="530"/>
      <c r="I688" s="530"/>
      <c r="J688" s="530"/>
      <c r="K688" s="530"/>
      <c r="L688" s="530"/>
      <c r="M688" s="530"/>
      <c r="N688" s="530"/>
      <c r="O688" s="530"/>
      <c r="P688" s="530"/>
      <c r="Q688" s="530"/>
      <c r="R688" s="530"/>
      <c r="S688" s="530"/>
      <c r="T688" s="530">
        <v>51</v>
      </c>
      <c r="U688" s="530" t="s">
        <v>149</v>
      </c>
    </row>
    <row r="689" spans="1:21" ht="13.8" x14ac:dyDescent="0.3">
      <c r="A689" s="530" t="str">
        <f t="shared" si="18"/>
        <v>Gwynedd.2014.Accommodation - Establishments.Serviced Accommodation 3</v>
      </c>
      <c r="B689" s="530" t="s">
        <v>219</v>
      </c>
      <c r="C689" s="530" t="str">
        <f t="shared" si="19"/>
        <v>2014.Accommodation - Establishments.Serviced Accommodation 3</v>
      </c>
      <c r="D689" s="530" t="s">
        <v>233</v>
      </c>
      <c r="E689" s="530" t="s">
        <v>150</v>
      </c>
      <c r="F689" s="530" t="s">
        <v>153</v>
      </c>
      <c r="G689" s="530" t="s">
        <v>223</v>
      </c>
      <c r="H689" s="530"/>
      <c r="I689" s="530"/>
      <c r="J689" s="530"/>
      <c r="K689" s="530"/>
      <c r="L689" s="530"/>
      <c r="M689" s="530"/>
      <c r="N689" s="530"/>
      <c r="O689" s="530"/>
      <c r="P689" s="530"/>
      <c r="Q689" s="530"/>
      <c r="R689" s="530"/>
      <c r="S689" s="530"/>
      <c r="T689" s="530">
        <v>272</v>
      </c>
      <c r="U689" s="530" t="s">
        <v>149</v>
      </c>
    </row>
    <row r="690" spans="1:21" ht="13.8" x14ac:dyDescent="0.3">
      <c r="A690" s="530" t="str">
        <f t="shared" si="18"/>
        <v>Gwynedd.2014.Accommodation - Establishments.Serviced Accommodation 4</v>
      </c>
      <c r="B690" s="530" t="s">
        <v>219</v>
      </c>
      <c r="C690" s="530" t="str">
        <f t="shared" si="19"/>
        <v>2014.Accommodation - Establishments.Serviced Accommodation 4</v>
      </c>
      <c r="D690" s="530" t="s">
        <v>233</v>
      </c>
      <c r="E690" s="530" t="s">
        <v>150</v>
      </c>
      <c r="F690" s="530" t="s">
        <v>154</v>
      </c>
      <c r="G690" s="530" t="s">
        <v>224</v>
      </c>
      <c r="H690" s="530"/>
      <c r="I690" s="530"/>
      <c r="J690" s="530"/>
      <c r="K690" s="530"/>
      <c r="L690" s="530"/>
      <c r="M690" s="530"/>
      <c r="N690" s="530"/>
      <c r="O690" s="530"/>
      <c r="P690" s="530"/>
      <c r="Q690" s="530"/>
      <c r="R690" s="530"/>
      <c r="S690" s="530"/>
      <c r="T690" s="530" t="s">
        <v>224</v>
      </c>
      <c r="U690" s="530" t="s">
        <v>149</v>
      </c>
    </row>
    <row r="691" spans="1:21" ht="13.8" x14ac:dyDescent="0.3">
      <c r="A691" s="530" t="str">
        <f t="shared" si="18"/>
        <v>Gwynedd.2014.Accommodation - Establishments.Serviced Accommodation 5</v>
      </c>
      <c r="B691" s="530" t="s">
        <v>219</v>
      </c>
      <c r="C691" s="530" t="str">
        <f t="shared" si="19"/>
        <v>2014.Accommodation - Establishments.Serviced Accommodation 5</v>
      </c>
      <c r="D691" s="530" t="s">
        <v>233</v>
      </c>
      <c r="E691" s="530" t="s">
        <v>150</v>
      </c>
      <c r="F691" s="530" t="s">
        <v>155</v>
      </c>
      <c r="G691" s="530" t="s">
        <v>224</v>
      </c>
      <c r="H691" s="530"/>
      <c r="I691" s="530"/>
      <c r="J691" s="530"/>
      <c r="K691" s="530"/>
      <c r="L691" s="530"/>
      <c r="M691" s="530"/>
      <c r="N691" s="530"/>
      <c r="O691" s="530"/>
      <c r="P691" s="530"/>
      <c r="Q691" s="530"/>
      <c r="R691" s="530"/>
      <c r="S691" s="530"/>
      <c r="T691" s="530" t="s">
        <v>224</v>
      </c>
      <c r="U691" s="530" t="s">
        <v>149</v>
      </c>
    </row>
    <row r="692" spans="1:21" ht="15" customHeight="1" x14ac:dyDescent="0.3">
      <c r="A692" s="530" t="str">
        <f t="shared" si="18"/>
        <v>Gwynedd.2014.Accommodation - Establishments.Serviced Accommodation Total</v>
      </c>
      <c r="B692" s="530" t="s">
        <v>219</v>
      </c>
      <c r="C692" s="530" t="str">
        <f t="shared" si="19"/>
        <v>2014.Accommodation - Establishments.Serviced Accommodation Total</v>
      </c>
      <c r="D692" s="530" t="s">
        <v>233</v>
      </c>
      <c r="E692" s="530" t="s">
        <v>150</v>
      </c>
      <c r="F692" s="530" t="s">
        <v>161</v>
      </c>
      <c r="G692" s="530" t="s">
        <v>225</v>
      </c>
      <c r="H692" s="530"/>
      <c r="I692" s="530"/>
      <c r="J692" s="530"/>
      <c r="K692" s="530"/>
      <c r="L692" s="530"/>
      <c r="M692" s="530"/>
      <c r="N692" s="530"/>
      <c r="O692" s="530"/>
      <c r="P692" s="530"/>
      <c r="Q692" s="530"/>
      <c r="R692" s="530"/>
      <c r="S692" s="530"/>
      <c r="T692" s="530">
        <v>330</v>
      </c>
      <c r="U692" s="530" t="s">
        <v>149</v>
      </c>
    </row>
    <row r="693" spans="1:21" ht="15" customHeight="1" x14ac:dyDescent="0.3">
      <c r="A693" s="530" t="str">
        <f t="shared" si="18"/>
        <v>Gwynedd.2014.Accommodation - Establishments.Non-Serviced Accommodation 1</v>
      </c>
      <c r="B693" s="530" t="s">
        <v>219</v>
      </c>
      <c r="C693" s="530" t="str">
        <f t="shared" si="19"/>
        <v>2014.Accommodation - Establishments.Non-Serviced Accommodation 1</v>
      </c>
      <c r="D693" s="530" t="s">
        <v>233</v>
      </c>
      <c r="E693" s="530" t="s">
        <v>150</v>
      </c>
      <c r="F693" s="530" t="s">
        <v>156</v>
      </c>
      <c r="G693" s="530" t="s">
        <v>226</v>
      </c>
      <c r="H693" s="530"/>
      <c r="I693" s="530"/>
      <c r="J693" s="530"/>
      <c r="K693" s="530"/>
      <c r="L693" s="530"/>
      <c r="M693" s="530"/>
      <c r="N693" s="530"/>
      <c r="O693" s="530"/>
      <c r="P693" s="530"/>
      <c r="Q693" s="530"/>
      <c r="R693" s="530"/>
      <c r="S693" s="530"/>
      <c r="T693" s="530">
        <v>1820</v>
      </c>
      <c r="U693" s="530" t="s">
        <v>149</v>
      </c>
    </row>
    <row r="694" spans="1:21" ht="15" customHeight="1" x14ac:dyDescent="0.3">
      <c r="A694" s="530" t="str">
        <f t="shared" si="18"/>
        <v>Gwynedd.2014.Accommodation - Establishments.Non-Serviced Accommodation 2</v>
      </c>
      <c r="B694" s="530" t="s">
        <v>219</v>
      </c>
      <c r="C694" s="530" t="str">
        <f t="shared" si="19"/>
        <v>2014.Accommodation - Establishments.Non-Serviced Accommodation 2</v>
      </c>
      <c r="D694" s="530" t="s">
        <v>233</v>
      </c>
      <c r="E694" s="530" t="s">
        <v>150</v>
      </c>
      <c r="F694" s="530" t="s">
        <v>157</v>
      </c>
      <c r="G694" s="530" t="s">
        <v>227</v>
      </c>
      <c r="H694" s="530"/>
      <c r="I694" s="530"/>
      <c r="J694" s="530"/>
      <c r="K694" s="530"/>
      <c r="L694" s="530"/>
      <c r="M694" s="530"/>
      <c r="N694" s="530"/>
      <c r="O694" s="530"/>
      <c r="P694" s="530"/>
      <c r="Q694" s="530"/>
      <c r="R694" s="530"/>
      <c r="S694" s="530"/>
      <c r="T694" s="530">
        <v>125</v>
      </c>
      <c r="U694" s="530" t="s">
        <v>149</v>
      </c>
    </row>
    <row r="695" spans="1:21" ht="15" customHeight="1" x14ac:dyDescent="0.3">
      <c r="A695" s="530" t="str">
        <f t="shared" si="18"/>
        <v>Gwynedd.2014.Accommodation - Establishments.Non-Serviced Accommodation 3</v>
      </c>
      <c r="B695" s="530" t="s">
        <v>219</v>
      </c>
      <c r="C695" s="530" t="str">
        <f t="shared" si="19"/>
        <v>2014.Accommodation - Establishments.Non-Serviced Accommodation 3</v>
      </c>
      <c r="D695" s="530" t="s">
        <v>233</v>
      </c>
      <c r="E695" s="530" t="s">
        <v>150</v>
      </c>
      <c r="F695" s="530" t="s">
        <v>158</v>
      </c>
      <c r="G695" s="530" t="s">
        <v>228</v>
      </c>
      <c r="H695" s="530"/>
      <c r="I695" s="530"/>
      <c r="J695" s="530"/>
      <c r="K695" s="530"/>
      <c r="L695" s="530"/>
      <c r="M695" s="530"/>
      <c r="N695" s="530"/>
      <c r="O695" s="530"/>
      <c r="P695" s="530"/>
      <c r="Q695" s="530"/>
      <c r="R695" s="530"/>
      <c r="S695" s="530"/>
      <c r="T695" s="530">
        <v>162</v>
      </c>
      <c r="U695" s="530" t="s">
        <v>149</v>
      </c>
    </row>
    <row r="696" spans="1:21" ht="15" customHeight="1" x14ac:dyDescent="0.3">
      <c r="A696" s="530" t="str">
        <f t="shared" si="18"/>
        <v>Gwynedd.2014.Accommodation - Establishments.Non-Serviced Accommodation 4</v>
      </c>
      <c r="B696" s="530" t="s">
        <v>219</v>
      </c>
      <c r="C696" s="530" t="str">
        <f t="shared" si="19"/>
        <v>2014.Accommodation - Establishments.Non-Serviced Accommodation 4</v>
      </c>
      <c r="D696" s="530" t="s">
        <v>233</v>
      </c>
      <c r="E696" s="530" t="s">
        <v>150</v>
      </c>
      <c r="F696" s="530" t="s">
        <v>159</v>
      </c>
      <c r="G696" s="530" t="s">
        <v>229</v>
      </c>
      <c r="H696" s="530"/>
      <c r="I696" s="530"/>
      <c r="J696" s="530"/>
      <c r="K696" s="530"/>
      <c r="L696" s="530"/>
      <c r="M696" s="530"/>
      <c r="N696" s="530"/>
      <c r="O696" s="530"/>
      <c r="P696" s="530"/>
      <c r="Q696" s="530"/>
      <c r="R696" s="530"/>
      <c r="S696" s="530"/>
      <c r="T696" s="530">
        <v>0</v>
      </c>
      <c r="U696" s="530" t="s">
        <v>149</v>
      </c>
    </row>
    <row r="697" spans="1:21" ht="15" customHeight="1" x14ac:dyDescent="0.3">
      <c r="A697" s="530" t="str">
        <f t="shared" si="18"/>
        <v>Gwynedd.2014.Accommodation - Establishments.Non-Serviced Accommodation 5</v>
      </c>
      <c r="B697" s="530" t="s">
        <v>219</v>
      </c>
      <c r="C697" s="530" t="str">
        <f t="shared" si="19"/>
        <v>2014.Accommodation - Establishments.Non-Serviced Accommodation 5</v>
      </c>
      <c r="D697" s="530" t="s">
        <v>233</v>
      </c>
      <c r="E697" s="530" t="s">
        <v>150</v>
      </c>
      <c r="F697" s="530" t="s">
        <v>160</v>
      </c>
      <c r="G697" s="530" t="s">
        <v>224</v>
      </c>
      <c r="H697" s="530"/>
      <c r="I697" s="530"/>
      <c r="J697" s="530"/>
      <c r="K697" s="530"/>
      <c r="L697" s="530"/>
      <c r="M697" s="530"/>
      <c r="N697" s="530"/>
      <c r="O697" s="530"/>
      <c r="P697" s="530"/>
      <c r="Q697" s="530"/>
      <c r="R697" s="530"/>
      <c r="S697" s="530"/>
      <c r="T697" s="530" t="s">
        <v>224</v>
      </c>
      <c r="U697" s="530" t="s">
        <v>149</v>
      </c>
    </row>
    <row r="698" spans="1:21" ht="15" customHeight="1" x14ac:dyDescent="0.3">
      <c r="A698" s="530" t="str">
        <f t="shared" si="18"/>
        <v>Gwynedd.2014.Accommodation - Establishments.Non-Serviced Accommodation Total</v>
      </c>
      <c r="B698" s="530" t="s">
        <v>219</v>
      </c>
      <c r="C698" s="530" t="str">
        <f t="shared" si="19"/>
        <v>2014.Accommodation - Establishments.Non-Serviced Accommodation Total</v>
      </c>
      <c r="D698" s="530" t="s">
        <v>233</v>
      </c>
      <c r="E698" s="530" t="s">
        <v>150</v>
      </c>
      <c r="F698" s="530" t="s">
        <v>162</v>
      </c>
      <c r="G698" s="530" t="s">
        <v>230</v>
      </c>
      <c r="H698" s="530"/>
      <c r="I698" s="530"/>
      <c r="J698" s="530"/>
      <c r="K698" s="530"/>
      <c r="L698" s="530"/>
      <c r="M698" s="530"/>
      <c r="N698" s="530"/>
      <c r="O698" s="530"/>
      <c r="P698" s="530"/>
      <c r="Q698" s="530"/>
      <c r="R698" s="530"/>
      <c r="S698" s="530"/>
      <c r="T698" s="530">
        <v>2107</v>
      </c>
      <c r="U698" s="530" t="s">
        <v>149</v>
      </c>
    </row>
    <row r="699" spans="1:21" ht="15" customHeight="1" x14ac:dyDescent="0.3">
      <c r="A699" s="530" t="str">
        <f t="shared" si="18"/>
        <v>Gwynedd.2014.Accommodation - Establishments.All Accommodation Types</v>
      </c>
      <c r="B699" s="530" t="s">
        <v>219</v>
      </c>
      <c r="C699" s="530" t="str">
        <f t="shared" si="19"/>
        <v>2014.Accommodation - Establishments.All Accommodation Types</v>
      </c>
      <c r="D699" s="530" t="s">
        <v>233</v>
      </c>
      <c r="E699" s="530" t="s">
        <v>150</v>
      </c>
      <c r="F699" s="530" t="s">
        <v>163</v>
      </c>
      <c r="G699" s="530" t="s">
        <v>38</v>
      </c>
      <c r="H699" s="530"/>
      <c r="I699" s="530"/>
      <c r="J699" s="530"/>
      <c r="K699" s="530"/>
      <c r="L699" s="530"/>
      <c r="M699" s="530"/>
      <c r="N699" s="530"/>
      <c r="O699" s="530"/>
      <c r="P699" s="530"/>
      <c r="Q699" s="530"/>
      <c r="R699" s="530"/>
      <c r="S699" s="530"/>
      <c r="T699" s="530">
        <v>2437</v>
      </c>
      <c r="U699" s="530" t="s">
        <v>149</v>
      </c>
    </row>
    <row r="700" spans="1:21" ht="13.8" x14ac:dyDescent="0.3">
      <c r="A700" s="530" t="str">
        <f t="shared" si="18"/>
        <v>Gwynedd.2014.Accommodation - Bed Spaces.Serviced Accommodation 1</v>
      </c>
      <c r="B700" s="530" t="s">
        <v>219</v>
      </c>
      <c r="C700" s="530" t="str">
        <f t="shared" si="19"/>
        <v>2014.Accommodation - Bed Spaces.Serviced Accommodation 1</v>
      </c>
      <c r="D700" s="530" t="s">
        <v>233</v>
      </c>
      <c r="E700" s="530" t="s">
        <v>164</v>
      </c>
      <c r="F700" s="530" t="s">
        <v>151</v>
      </c>
      <c r="G700" s="530" t="s">
        <v>221</v>
      </c>
      <c r="H700" s="530"/>
      <c r="I700" s="530"/>
      <c r="J700" s="530"/>
      <c r="K700" s="530"/>
      <c r="L700" s="530"/>
      <c r="M700" s="530"/>
      <c r="N700" s="530"/>
      <c r="O700" s="530"/>
      <c r="P700" s="530"/>
      <c r="Q700" s="530"/>
      <c r="R700" s="530"/>
      <c r="S700" s="530"/>
      <c r="T700" s="530">
        <v>1391</v>
      </c>
      <c r="U700" s="530" t="s">
        <v>58</v>
      </c>
    </row>
    <row r="701" spans="1:21" ht="13.8" x14ac:dyDescent="0.3">
      <c r="A701" s="530" t="str">
        <f t="shared" si="18"/>
        <v>Gwynedd.2014.Accommodation - Bed Spaces.Serviced Accommodation 2</v>
      </c>
      <c r="B701" s="530" t="s">
        <v>219</v>
      </c>
      <c r="C701" s="530" t="str">
        <f t="shared" si="19"/>
        <v>2014.Accommodation - Bed Spaces.Serviced Accommodation 2</v>
      </c>
      <c r="D701" s="530" t="s">
        <v>233</v>
      </c>
      <c r="E701" s="530" t="s">
        <v>164</v>
      </c>
      <c r="F701" s="530" t="s">
        <v>152</v>
      </c>
      <c r="G701" s="530" t="s">
        <v>222</v>
      </c>
      <c r="H701" s="530"/>
      <c r="I701" s="530"/>
      <c r="J701" s="530"/>
      <c r="K701" s="530"/>
      <c r="L701" s="530"/>
      <c r="M701" s="530"/>
      <c r="N701" s="530"/>
      <c r="O701" s="530"/>
      <c r="P701" s="530"/>
      <c r="Q701" s="530"/>
      <c r="R701" s="530"/>
      <c r="S701" s="530"/>
      <c r="T701" s="530">
        <v>2069</v>
      </c>
      <c r="U701" s="530" t="s">
        <v>58</v>
      </c>
    </row>
    <row r="702" spans="1:21" ht="13.8" x14ac:dyDescent="0.3">
      <c r="A702" s="530" t="str">
        <f t="shared" si="18"/>
        <v>Gwynedd.2014.Accommodation - Bed Spaces.Serviced Accommodation 3</v>
      </c>
      <c r="B702" s="530" t="s">
        <v>219</v>
      </c>
      <c r="C702" s="530" t="str">
        <f t="shared" si="19"/>
        <v>2014.Accommodation - Bed Spaces.Serviced Accommodation 3</v>
      </c>
      <c r="D702" s="530" t="s">
        <v>233</v>
      </c>
      <c r="E702" s="530" t="s">
        <v>164</v>
      </c>
      <c r="F702" s="530" t="s">
        <v>153</v>
      </c>
      <c r="G702" s="530" t="s">
        <v>223</v>
      </c>
      <c r="H702" s="530"/>
      <c r="I702" s="530"/>
      <c r="J702" s="530"/>
      <c r="K702" s="530"/>
      <c r="L702" s="530"/>
      <c r="M702" s="530"/>
      <c r="N702" s="530"/>
      <c r="O702" s="530"/>
      <c r="P702" s="530"/>
      <c r="Q702" s="530"/>
      <c r="R702" s="530"/>
      <c r="S702" s="530"/>
      <c r="T702" s="530">
        <v>2725</v>
      </c>
      <c r="U702" s="530" t="s">
        <v>58</v>
      </c>
    </row>
    <row r="703" spans="1:21" ht="13.8" x14ac:dyDescent="0.3">
      <c r="A703" s="530" t="str">
        <f t="shared" si="18"/>
        <v>Gwynedd.2014.Accommodation - Bed Spaces.Serviced Accommodation 4</v>
      </c>
      <c r="B703" s="530" t="s">
        <v>219</v>
      </c>
      <c r="C703" s="530" t="str">
        <f t="shared" si="19"/>
        <v>2014.Accommodation - Bed Spaces.Serviced Accommodation 4</v>
      </c>
      <c r="D703" s="530" t="s">
        <v>233</v>
      </c>
      <c r="E703" s="530" t="s">
        <v>164</v>
      </c>
      <c r="F703" s="530" t="s">
        <v>154</v>
      </c>
      <c r="G703" s="530" t="s">
        <v>224</v>
      </c>
      <c r="H703" s="530"/>
      <c r="I703" s="530"/>
      <c r="J703" s="530"/>
      <c r="K703" s="530"/>
      <c r="L703" s="530"/>
      <c r="M703" s="530"/>
      <c r="N703" s="530"/>
      <c r="O703" s="530"/>
      <c r="P703" s="530"/>
      <c r="Q703" s="530"/>
      <c r="R703" s="530"/>
      <c r="S703" s="530"/>
      <c r="T703" s="530" t="s">
        <v>224</v>
      </c>
      <c r="U703" s="530" t="s">
        <v>58</v>
      </c>
    </row>
    <row r="704" spans="1:21" ht="13.8" x14ac:dyDescent="0.3">
      <c r="A704" s="530" t="str">
        <f t="shared" si="18"/>
        <v>Gwynedd.2014.Accommodation - Bed Spaces.Serviced Accommodation 5</v>
      </c>
      <c r="B704" s="530" t="s">
        <v>219</v>
      </c>
      <c r="C704" s="530" t="str">
        <f t="shared" si="19"/>
        <v>2014.Accommodation - Bed Spaces.Serviced Accommodation 5</v>
      </c>
      <c r="D704" s="530" t="s">
        <v>233</v>
      </c>
      <c r="E704" s="530" t="s">
        <v>164</v>
      </c>
      <c r="F704" s="530" t="s">
        <v>155</v>
      </c>
      <c r="G704" s="530" t="s">
        <v>224</v>
      </c>
      <c r="H704" s="530"/>
      <c r="I704" s="530"/>
      <c r="J704" s="530"/>
      <c r="K704" s="530"/>
      <c r="L704" s="530"/>
      <c r="M704" s="530"/>
      <c r="N704" s="530"/>
      <c r="O704" s="530"/>
      <c r="P704" s="530"/>
      <c r="Q704" s="530"/>
      <c r="R704" s="530"/>
      <c r="S704" s="530"/>
      <c r="T704" s="530" t="s">
        <v>224</v>
      </c>
      <c r="U704" s="530" t="s">
        <v>58</v>
      </c>
    </row>
    <row r="705" spans="1:21" ht="13.8" x14ac:dyDescent="0.3">
      <c r="A705" s="530" t="str">
        <f t="shared" si="18"/>
        <v>Gwynedd.2014.Accommodation - Bed Spaces.Serviced Accommodation Total</v>
      </c>
      <c r="B705" s="530" t="s">
        <v>219</v>
      </c>
      <c r="C705" s="530" t="str">
        <f t="shared" si="19"/>
        <v>2014.Accommodation - Bed Spaces.Serviced Accommodation Total</v>
      </c>
      <c r="D705" s="530" t="s">
        <v>233</v>
      </c>
      <c r="E705" s="530" t="s">
        <v>164</v>
      </c>
      <c r="F705" s="530" t="s">
        <v>161</v>
      </c>
      <c r="G705" s="530" t="s">
        <v>225</v>
      </c>
      <c r="H705" s="530"/>
      <c r="I705" s="530"/>
      <c r="J705" s="530"/>
      <c r="K705" s="530"/>
      <c r="L705" s="530"/>
      <c r="M705" s="530"/>
      <c r="N705" s="530"/>
      <c r="O705" s="530"/>
      <c r="P705" s="530"/>
      <c r="Q705" s="530"/>
      <c r="R705" s="530"/>
      <c r="S705" s="530"/>
      <c r="T705" s="530">
        <v>6185</v>
      </c>
      <c r="U705" s="530" t="s">
        <v>58</v>
      </c>
    </row>
    <row r="706" spans="1:21" ht="13.8" x14ac:dyDescent="0.3">
      <c r="A706" s="530" t="str">
        <f t="shared" si="18"/>
        <v>Gwynedd.2014.Accommodation - Bed Spaces.Non-Serviced Accommodation 1</v>
      </c>
      <c r="B706" s="530" t="s">
        <v>219</v>
      </c>
      <c r="C706" s="530" t="str">
        <f t="shared" si="19"/>
        <v>2014.Accommodation - Bed Spaces.Non-Serviced Accommodation 1</v>
      </c>
      <c r="D706" s="530" t="s">
        <v>233</v>
      </c>
      <c r="E706" s="530" t="s">
        <v>164</v>
      </c>
      <c r="F706" s="530" t="s">
        <v>156</v>
      </c>
      <c r="G706" s="530" t="s">
        <v>226</v>
      </c>
      <c r="H706" s="530"/>
      <c r="I706" s="530"/>
      <c r="J706" s="530"/>
      <c r="K706" s="530"/>
      <c r="L706" s="530"/>
      <c r="M706" s="530"/>
      <c r="N706" s="530"/>
      <c r="O706" s="530"/>
      <c r="P706" s="530"/>
      <c r="Q706" s="530"/>
      <c r="R706" s="530"/>
      <c r="S706" s="530"/>
      <c r="T706" s="530">
        <v>12587</v>
      </c>
      <c r="U706" s="530" t="s">
        <v>58</v>
      </c>
    </row>
    <row r="707" spans="1:21" ht="13.8" x14ac:dyDescent="0.3">
      <c r="A707" s="530" t="str">
        <f t="shared" si="18"/>
        <v>Gwynedd.2014.Accommodation - Bed Spaces.Non-Serviced Accommodation 2</v>
      </c>
      <c r="B707" s="530" t="s">
        <v>219</v>
      </c>
      <c r="C707" s="530" t="str">
        <f t="shared" si="19"/>
        <v>2014.Accommodation - Bed Spaces.Non-Serviced Accommodation 2</v>
      </c>
      <c r="D707" s="530" t="s">
        <v>233</v>
      </c>
      <c r="E707" s="530" t="s">
        <v>164</v>
      </c>
      <c r="F707" s="530" t="s">
        <v>157</v>
      </c>
      <c r="G707" s="530" t="s">
        <v>227</v>
      </c>
      <c r="H707" s="530"/>
      <c r="I707" s="530"/>
      <c r="J707" s="530"/>
      <c r="K707" s="530"/>
      <c r="L707" s="530"/>
      <c r="M707" s="530"/>
      <c r="N707" s="530"/>
      <c r="O707" s="530"/>
      <c r="P707" s="530"/>
      <c r="Q707" s="530"/>
      <c r="R707" s="530"/>
      <c r="S707" s="530"/>
      <c r="T707" s="530">
        <v>8010.8884688090693</v>
      </c>
      <c r="U707" s="530" t="s">
        <v>58</v>
      </c>
    </row>
    <row r="708" spans="1:21" ht="13.8" x14ac:dyDescent="0.3">
      <c r="A708" s="530" t="str">
        <f t="shared" si="18"/>
        <v>Gwynedd.2014.Accommodation - Bed Spaces.Non-Serviced Accommodation 3</v>
      </c>
      <c r="B708" s="530" t="s">
        <v>219</v>
      </c>
      <c r="C708" s="530" t="str">
        <f t="shared" si="19"/>
        <v>2014.Accommodation - Bed Spaces.Non-Serviced Accommodation 3</v>
      </c>
      <c r="D708" s="530" t="s">
        <v>233</v>
      </c>
      <c r="E708" s="530" t="s">
        <v>164</v>
      </c>
      <c r="F708" s="530" t="s">
        <v>158</v>
      </c>
      <c r="G708" s="530" t="s">
        <v>228</v>
      </c>
      <c r="H708" s="530"/>
      <c r="I708" s="530"/>
      <c r="J708" s="530"/>
      <c r="K708" s="530"/>
      <c r="L708" s="530"/>
      <c r="M708" s="530"/>
      <c r="N708" s="530"/>
      <c r="O708" s="530"/>
      <c r="P708" s="530"/>
      <c r="Q708" s="530"/>
      <c r="R708" s="530"/>
      <c r="S708" s="530"/>
      <c r="T708" s="530">
        <v>30360</v>
      </c>
      <c r="U708" s="530" t="s">
        <v>58</v>
      </c>
    </row>
    <row r="709" spans="1:21" ht="13.8" x14ac:dyDescent="0.3">
      <c r="A709" s="530" t="str">
        <f t="shared" si="18"/>
        <v>Gwynedd.2014.Accommodation - Bed Spaces.Non-Serviced Accommodation 4</v>
      </c>
      <c r="B709" s="530" t="s">
        <v>219</v>
      </c>
      <c r="C709" s="530" t="str">
        <f t="shared" si="19"/>
        <v>2014.Accommodation - Bed Spaces.Non-Serviced Accommodation 4</v>
      </c>
      <c r="D709" s="530" t="s">
        <v>233</v>
      </c>
      <c r="E709" s="530" t="s">
        <v>164</v>
      </c>
      <c r="F709" s="530" t="s">
        <v>159</v>
      </c>
      <c r="G709" s="530" t="s">
        <v>229</v>
      </c>
      <c r="H709" s="530"/>
      <c r="I709" s="530"/>
      <c r="J709" s="530"/>
      <c r="K709" s="530"/>
      <c r="L709" s="530"/>
      <c r="M709" s="530"/>
      <c r="N709" s="530"/>
      <c r="O709" s="530"/>
      <c r="P709" s="530"/>
      <c r="Q709" s="530"/>
      <c r="R709" s="530"/>
      <c r="S709" s="530"/>
      <c r="T709" s="530">
        <v>47484.910904595446</v>
      </c>
      <c r="U709" s="530" t="s">
        <v>58</v>
      </c>
    </row>
    <row r="710" spans="1:21" ht="13.8" x14ac:dyDescent="0.3">
      <c r="A710" s="530" t="str">
        <f t="shared" si="18"/>
        <v>Gwynedd.2014.Accommodation - Bed Spaces.Non-Serviced Accommodation 5</v>
      </c>
      <c r="B710" s="530" t="s">
        <v>219</v>
      </c>
      <c r="C710" s="530" t="str">
        <f t="shared" si="19"/>
        <v>2014.Accommodation - Bed Spaces.Non-Serviced Accommodation 5</v>
      </c>
      <c r="D710" s="530" t="s">
        <v>233</v>
      </c>
      <c r="E710" s="530" t="s">
        <v>164</v>
      </c>
      <c r="F710" s="530" t="s">
        <v>160</v>
      </c>
      <c r="G710" s="530" t="s">
        <v>224</v>
      </c>
      <c r="H710" s="530"/>
      <c r="I710" s="530"/>
      <c r="J710" s="530"/>
      <c r="K710" s="530"/>
      <c r="L710" s="530"/>
      <c r="M710" s="530"/>
      <c r="N710" s="530"/>
      <c r="O710" s="530"/>
      <c r="P710" s="530"/>
      <c r="Q710" s="530"/>
      <c r="R710" s="530"/>
      <c r="S710" s="530"/>
      <c r="T710" s="530" t="s">
        <v>224</v>
      </c>
      <c r="U710" s="530" t="s">
        <v>58</v>
      </c>
    </row>
    <row r="711" spans="1:21" ht="13.8" x14ac:dyDescent="0.3">
      <c r="A711" s="530" t="str">
        <f t="shared" si="18"/>
        <v>Gwynedd.2014.Accommodation - Bed Spaces.Non-Serviced Accommodation Total</v>
      </c>
      <c r="B711" s="530" t="s">
        <v>219</v>
      </c>
      <c r="C711" s="530" t="str">
        <f t="shared" si="19"/>
        <v>2014.Accommodation - Bed Spaces.Non-Serviced Accommodation Total</v>
      </c>
      <c r="D711" s="530" t="s">
        <v>233</v>
      </c>
      <c r="E711" s="530" t="s">
        <v>164</v>
      </c>
      <c r="F711" s="530" t="s">
        <v>162</v>
      </c>
      <c r="G711" s="530" t="s">
        <v>230</v>
      </c>
      <c r="H711" s="530"/>
      <c r="I711" s="530"/>
      <c r="J711" s="530"/>
      <c r="K711" s="530"/>
      <c r="L711" s="530"/>
      <c r="M711" s="530"/>
      <c r="N711" s="530"/>
      <c r="O711" s="530"/>
      <c r="P711" s="530"/>
      <c r="Q711" s="530"/>
      <c r="R711" s="530"/>
      <c r="S711" s="530"/>
      <c r="T711" s="530">
        <v>98442.799373404516</v>
      </c>
      <c r="U711" s="530" t="s">
        <v>58</v>
      </c>
    </row>
    <row r="712" spans="1:21" ht="13.8" x14ac:dyDescent="0.3">
      <c r="A712" s="530" t="str">
        <f t="shared" si="18"/>
        <v>Gwynedd.2014.Accommodation - Bed Spaces.All Accommodation Types</v>
      </c>
      <c r="B712" s="530" t="s">
        <v>219</v>
      </c>
      <c r="C712" s="530" t="str">
        <f t="shared" si="19"/>
        <v>2014.Accommodation - Bed Spaces.All Accommodation Types</v>
      </c>
      <c r="D712" s="530" t="s">
        <v>233</v>
      </c>
      <c r="E712" s="530" t="s">
        <v>164</v>
      </c>
      <c r="F712" s="530" t="s">
        <v>163</v>
      </c>
      <c r="G712" s="530" t="s">
        <v>38</v>
      </c>
      <c r="H712" s="530"/>
      <c r="I712" s="530"/>
      <c r="J712" s="530"/>
      <c r="K712" s="530"/>
      <c r="L712" s="530"/>
      <c r="M712" s="530"/>
      <c r="N712" s="530"/>
      <c r="O712" s="530"/>
      <c r="P712" s="530"/>
      <c r="Q712" s="530"/>
      <c r="R712" s="530"/>
      <c r="S712" s="530"/>
      <c r="T712" s="530">
        <v>104627.79937340452</v>
      </c>
      <c r="U712" s="530" t="s">
        <v>58</v>
      </c>
    </row>
    <row r="713" spans="1:21" ht="13.8" x14ac:dyDescent="0.3">
      <c r="A713" s="530" t="str">
        <f t="shared" ref="A713:A816" si="20">B713&amp;"."&amp;D713&amp;"."&amp;E713&amp;"."&amp;F713</f>
        <v>Gwynedd.2015.Accommodation - Establishments.Serviced Accommodation 1</v>
      </c>
      <c r="B713" s="530" t="s">
        <v>219</v>
      </c>
      <c r="C713" s="530" t="str">
        <f t="shared" ref="C713:C816" si="21">D713&amp;"."&amp;E713&amp;"."&amp;F713</f>
        <v>2015.Accommodation - Establishments.Serviced Accommodation 1</v>
      </c>
      <c r="D713" s="530" t="s">
        <v>234</v>
      </c>
      <c r="E713" s="530" t="s">
        <v>150</v>
      </c>
      <c r="F713" s="530" t="s">
        <v>151</v>
      </c>
      <c r="G713" s="530" t="s">
        <v>221</v>
      </c>
      <c r="H713" s="530"/>
      <c r="I713" s="530"/>
      <c r="J713" s="530"/>
      <c r="K713" s="530"/>
      <c r="L713" s="530"/>
      <c r="M713" s="530"/>
      <c r="N713" s="530"/>
      <c r="O713" s="530"/>
      <c r="P713" s="530"/>
      <c r="Q713" s="530"/>
      <c r="R713" s="530"/>
      <c r="S713" s="530"/>
      <c r="T713" s="530">
        <v>7</v>
      </c>
      <c r="U713" s="530" t="s">
        <v>149</v>
      </c>
    </row>
    <row r="714" spans="1:21" ht="13.8" x14ac:dyDescent="0.3">
      <c r="A714" s="530" t="str">
        <f t="shared" si="20"/>
        <v>Gwynedd.2015.Accommodation - Establishments.Serviced Accommodation 2</v>
      </c>
      <c r="B714" s="530" t="s">
        <v>219</v>
      </c>
      <c r="C714" s="530" t="str">
        <f t="shared" si="21"/>
        <v>2015.Accommodation - Establishments.Serviced Accommodation 2</v>
      </c>
      <c r="D714" s="530" t="s">
        <v>234</v>
      </c>
      <c r="E714" s="530" t="s">
        <v>150</v>
      </c>
      <c r="F714" s="530" t="s">
        <v>152</v>
      </c>
      <c r="G714" s="530" t="s">
        <v>222</v>
      </c>
      <c r="H714" s="530"/>
      <c r="I714" s="530"/>
      <c r="J714" s="530"/>
      <c r="K714" s="530"/>
      <c r="L714" s="530"/>
      <c r="M714" s="530"/>
      <c r="N714" s="530"/>
      <c r="O714" s="530"/>
      <c r="P714" s="530"/>
      <c r="Q714" s="530"/>
      <c r="R714" s="530"/>
      <c r="S714" s="530"/>
      <c r="T714" s="530">
        <v>51</v>
      </c>
      <c r="U714" s="530" t="s">
        <v>149</v>
      </c>
    </row>
    <row r="715" spans="1:21" ht="13.8" x14ac:dyDescent="0.3">
      <c r="A715" s="530" t="str">
        <f t="shared" si="20"/>
        <v>Gwynedd.2015.Accommodation - Establishments.Serviced Accommodation 3</v>
      </c>
      <c r="B715" s="530" t="s">
        <v>219</v>
      </c>
      <c r="C715" s="530" t="str">
        <f t="shared" si="21"/>
        <v>2015.Accommodation - Establishments.Serviced Accommodation 3</v>
      </c>
      <c r="D715" s="530" t="s">
        <v>234</v>
      </c>
      <c r="E715" s="530" t="s">
        <v>150</v>
      </c>
      <c r="F715" s="530" t="s">
        <v>153</v>
      </c>
      <c r="G715" s="530" t="s">
        <v>223</v>
      </c>
      <c r="H715" s="530"/>
      <c r="I715" s="530"/>
      <c r="J715" s="530"/>
      <c r="K715" s="530"/>
      <c r="L715" s="530"/>
      <c r="M715" s="530"/>
      <c r="N715" s="530"/>
      <c r="O715" s="530"/>
      <c r="P715" s="530"/>
      <c r="Q715" s="530"/>
      <c r="R715" s="530"/>
      <c r="S715" s="530"/>
      <c r="T715" s="530">
        <v>272</v>
      </c>
      <c r="U715" s="530" t="s">
        <v>149</v>
      </c>
    </row>
    <row r="716" spans="1:21" ht="13.8" x14ac:dyDescent="0.3">
      <c r="A716" s="530" t="str">
        <f t="shared" si="20"/>
        <v>Gwynedd.2015.Accommodation - Establishments.Serviced Accommodation 4</v>
      </c>
      <c r="B716" s="530" t="s">
        <v>219</v>
      </c>
      <c r="C716" s="530" t="str">
        <f t="shared" si="21"/>
        <v>2015.Accommodation - Establishments.Serviced Accommodation 4</v>
      </c>
      <c r="D716" s="530" t="s">
        <v>234</v>
      </c>
      <c r="E716" s="530" t="s">
        <v>150</v>
      </c>
      <c r="F716" s="530" t="s">
        <v>154</v>
      </c>
      <c r="G716" s="530" t="s">
        <v>224</v>
      </c>
      <c r="H716" s="530"/>
      <c r="I716" s="530"/>
      <c r="J716" s="530"/>
      <c r="K716" s="530"/>
      <c r="L716" s="530"/>
      <c r="M716" s="530"/>
      <c r="N716" s="530"/>
      <c r="O716" s="530"/>
      <c r="P716" s="530"/>
      <c r="Q716" s="530"/>
      <c r="R716" s="530"/>
      <c r="S716" s="530"/>
      <c r="T716" s="530" t="s">
        <v>224</v>
      </c>
      <c r="U716" s="530" t="s">
        <v>149</v>
      </c>
    </row>
    <row r="717" spans="1:21" ht="13.8" x14ac:dyDescent="0.3">
      <c r="A717" s="530" t="str">
        <f t="shared" si="20"/>
        <v>Gwynedd.2015.Accommodation - Establishments.Serviced Accommodation 5</v>
      </c>
      <c r="B717" s="530" t="s">
        <v>219</v>
      </c>
      <c r="C717" s="530" t="str">
        <f t="shared" si="21"/>
        <v>2015.Accommodation - Establishments.Serviced Accommodation 5</v>
      </c>
      <c r="D717" s="530" t="s">
        <v>234</v>
      </c>
      <c r="E717" s="530" t="s">
        <v>150</v>
      </c>
      <c r="F717" s="530" t="s">
        <v>155</v>
      </c>
      <c r="G717" s="530" t="s">
        <v>224</v>
      </c>
      <c r="H717" s="530"/>
      <c r="I717" s="530"/>
      <c r="J717" s="530"/>
      <c r="K717" s="530"/>
      <c r="L717" s="530"/>
      <c r="M717" s="530"/>
      <c r="N717" s="530"/>
      <c r="O717" s="530"/>
      <c r="P717" s="530"/>
      <c r="Q717" s="530"/>
      <c r="R717" s="530"/>
      <c r="S717" s="530"/>
      <c r="T717" s="530" t="s">
        <v>224</v>
      </c>
      <c r="U717" s="530" t="s">
        <v>149</v>
      </c>
    </row>
    <row r="718" spans="1:21" ht="15" customHeight="1" x14ac:dyDescent="0.3">
      <c r="A718" s="530" t="str">
        <f t="shared" si="20"/>
        <v>Gwynedd.2015.Accommodation - Establishments.Serviced Accommodation Total</v>
      </c>
      <c r="B718" s="530" t="s">
        <v>219</v>
      </c>
      <c r="C718" s="530" t="str">
        <f t="shared" si="21"/>
        <v>2015.Accommodation - Establishments.Serviced Accommodation Total</v>
      </c>
      <c r="D718" s="530" t="s">
        <v>234</v>
      </c>
      <c r="E718" s="530" t="s">
        <v>150</v>
      </c>
      <c r="F718" s="530" t="s">
        <v>161</v>
      </c>
      <c r="G718" s="530" t="s">
        <v>225</v>
      </c>
      <c r="H718" s="530"/>
      <c r="I718" s="530"/>
      <c r="J718" s="530"/>
      <c r="K718" s="530"/>
      <c r="L718" s="530"/>
      <c r="M718" s="530"/>
      <c r="N718" s="530"/>
      <c r="O718" s="530"/>
      <c r="P718" s="530"/>
      <c r="Q718" s="530"/>
      <c r="R718" s="530"/>
      <c r="S718" s="530"/>
      <c r="T718" s="530">
        <v>330</v>
      </c>
      <c r="U718" s="530" t="s">
        <v>149</v>
      </c>
    </row>
    <row r="719" spans="1:21" ht="15" customHeight="1" x14ac:dyDescent="0.3">
      <c r="A719" s="530" t="str">
        <f t="shared" si="20"/>
        <v>Gwynedd.2015.Accommodation - Establishments.Non-Serviced Accommodation 1</v>
      </c>
      <c r="B719" s="530" t="s">
        <v>219</v>
      </c>
      <c r="C719" s="530" t="str">
        <f t="shared" si="21"/>
        <v>2015.Accommodation - Establishments.Non-Serviced Accommodation 1</v>
      </c>
      <c r="D719" s="530" t="s">
        <v>234</v>
      </c>
      <c r="E719" s="530" t="s">
        <v>150</v>
      </c>
      <c r="F719" s="530" t="s">
        <v>156</v>
      </c>
      <c r="G719" s="530" t="s">
        <v>226</v>
      </c>
      <c r="H719" s="530"/>
      <c r="I719" s="530"/>
      <c r="J719" s="530"/>
      <c r="K719" s="530"/>
      <c r="L719" s="530"/>
      <c r="M719" s="530"/>
      <c r="N719" s="530"/>
      <c r="O719" s="530"/>
      <c r="P719" s="530"/>
      <c r="Q719" s="530"/>
      <c r="R719" s="530"/>
      <c r="S719" s="530"/>
      <c r="T719" s="530">
        <v>1820</v>
      </c>
      <c r="U719" s="530" t="s">
        <v>149</v>
      </c>
    </row>
    <row r="720" spans="1:21" ht="15" customHeight="1" x14ac:dyDescent="0.3">
      <c r="A720" s="530" t="str">
        <f t="shared" si="20"/>
        <v>Gwynedd.2015.Accommodation - Establishments.Non-Serviced Accommodation 2</v>
      </c>
      <c r="B720" s="530" t="s">
        <v>219</v>
      </c>
      <c r="C720" s="530" t="str">
        <f t="shared" si="21"/>
        <v>2015.Accommodation - Establishments.Non-Serviced Accommodation 2</v>
      </c>
      <c r="D720" s="530" t="s">
        <v>234</v>
      </c>
      <c r="E720" s="530" t="s">
        <v>150</v>
      </c>
      <c r="F720" s="530" t="s">
        <v>157</v>
      </c>
      <c r="G720" s="530" t="s">
        <v>227</v>
      </c>
      <c r="H720" s="530"/>
      <c r="I720" s="530"/>
      <c r="J720" s="530"/>
      <c r="K720" s="530"/>
      <c r="L720" s="530"/>
      <c r="M720" s="530"/>
      <c r="N720" s="530"/>
      <c r="O720" s="530"/>
      <c r="P720" s="530"/>
      <c r="Q720" s="530"/>
      <c r="R720" s="530"/>
      <c r="S720" s="530"/>
      <c r="T720" s="530">
        <v>125</v>
      </c>
      <c r="U720" s="530" t="s">
        <v>149</v>
      </c>
    </row>
    <row r="721" spans="1:21" ht="15" customHeight="1" x14ac:dyDescent="0.3">
      <c r="A721" s="530" t="str">
        <f t="shared" si="20"/>
        <v>Gwynedd.2015.Accommodation - Establishments.Non-Serviced Accommodation 3</v>
      </c>
      <c r="B721" s="530" t="s">
        <v>219</v>
      </c>
      <c r="C721" s="530" t="str">
        <f t="shared" si="21"/>
        <v>2015.Accommodation - Establishments.Non-Serviced Accommodation 3</v>
      </c>
      <c r="D721" s="530" t="s">
        <v>234</v>
      </c>
      <c r="E721" s="530" t="s">
        <v>150</v>
      </c>
      <c r="F721" s="530" t="s">
        <v>158</v>
      </c>
      <c r="G721" s="530" t="s">
        <v>228</v>
      </c>
      <c r="H721" s="530"/>
      <c r="I721" s="530"/>
      <c r="J721" s="530"/>
      <c r="K721" s="530"/>
      <c r="L721" s="530"/>
      <c r="M721" s="530"/>
      <c r="N721" s="530"/>
      <c r="O721" s="530"/>
      <c r="P721" s="530"/>
      <c r="Q721" s="530"/>
      <c r="R721" s="530"/>
      <c r="S721" s="530"/>
      <c r="T721" s="530">
        <v>162</v>
      </c>
      <c r="U721" s="530" t="s">
        <v>149</v>
      </c>
    </row>
    <row r="722" spans="1:21" ht="15" customHeight="1" x14ac:dyDescent="0.3">
      <c r="A722" s="530" t="str">
        <f t="shared" si="20"/>
        <v>Gwynedd.2015.Accommodation - Establishments.Non-Serviced Accommodation 4</v>
      </c>
      <c r="B722" s="530" t="s">
        <v>219</v>
      </c>
      <c r="C722" s="530" t="str">
        <f t="shared" si="21"/>
        <v>2015.Accommodation - Establishments.Non-Serviced Accommodation 4</v>
      </c>
      <c r="D722" s="530" t="s">
        <v>234</v>
      </c>
      <c r="E722" s="530" t="s">
        <v>150</v>
      </c>
      <c r="F722" s="530" t="s">
        <v>159</v>
      </c>
      <c r="G722" s="530" t="s">
        <v>229</v>
      </c>
      <c r="H722" s="530"/>
      <c r="I722" s="530"/>
      <c r="J722" s="530"/>
      <c r="K722" s="530"/>
      <c r="L722" s="530"/>
      <c r="M722" s="530"/>
      <c r="N722" s="530"/>
      <c r="O722" s="530"/>
      <c r="P722" s="530"/>
      <c r="Q722" s="530"/>
      <c r="R722" s="530"/>
      <c r="S722" s="530"/>
      <c r="T722" s="530">
        <v>0</v>
      </c>
      <c r="U722" s="530" t="s">
        <v>149</v>
      </c>
    </row>
    <row r="723" spans="1:21" ht="15" customHeight="1" x14ac:dyDescent="0.3">
      <c r="A723" s="530" t="str">
        <f t="shared" si="20"/>
        <v>Gwynedd.2015.Accommodation - Establishments.Non-Serviced Accommodation 5</v>
      </c>
      <c r="B723" s="530" t="s">
        <v>219</v>
      </c>
      <c r="C723" s="530" t="str">
        <f t="shared" si="21"/>
        <v>2015.Accommodation - Establishments.Non-Serviced Accommodation 5</v>
      </c>
      <c r="D723" s="530" t="s">
        <v>234</v>
      </c>
      <c r="E723" s="530" t="s">
        <v>150</v>
      </c>
      <c r="F723" s="530" t="s">
        <v>160</v>
      </c>
      <c r="G723" s="530" t="s">
        <v>224</v>
      </c>
      <c r="H723" s="530"/>
      <c r="I723" s="530"/>
      <c r="J723" s="530"/>
      <c r="K723" s="530"/>
      <c r="L723" s="530"/>
      <c r="M723" s="530"/>
      <c r="N723" s="530"/>
      <c r="O723" s="530"/>
      <c r="P723" s="530"/>
      <c r="Q723" s="530"/>
      <c r="R723" s="530"/>
      <c r="S723" s="530"/>
      <c r="T723" s="530" t="s">
        <v>224</v>
      </c>
      <c r="U723" s="530" t="s">
        <v>149</v>
      </c>
    </row>
    <row r="724" spans="1:21" ht="15" customHeight="1" x14ac:dyDescent="0.3">
      <c r="A724" s="530" t="str">
        <f t="shared" si="20"/>
        <v>Gwynedd.2015.Accommodation - Establishments.Non-Serviced Accommodation Total</v>
      </c>
      <c r="B724" s="530" t="s">
        <v>219</v>
      </c>
      <c r="C724" s="530" t="str">
        <f t="shared" si="21"/>
        <v>2015.Accommodation - Establishments.Non-Serviced Accommodation Total</v>
      </c>
      <c r="D724" s="530" t="s">
        <v>234</v>
      </c>
      <c r="E724" s="530" t="s">
        <v>150</v>
      </c>
      <c r="F724" s="530" t="s">
        <v>162</v>
      </c>
      <c r="G724" s="530" t="s">
        <v>230</v>
      </c>
      <c r="H724" s="530"/>
      <c r="I724" s="530"/>
      <c r="J724" s="530"/>
      <c r="K724" s="530"/>
      <c r="L724" s="530"/>
      <c r="M724" s="530"/>
      <c r="N724" s="530"/>
      <c r="O724" s="530"/>
      <c r="P724" s="530"/>
      <c r="Q724" s="530"/>
      <c r="R724" s="530"/>
      <c r="S724" s="530"/>
      <c r="T724" s="530">
        <v>2107</v>
      </c>
      <c r="U724" s="530" t="s">
        <v>149</v>
      </c>
    </row>
    <row r="725" spans="1:21" ht="15" customHeight="1" x14ac:dyDescent="0.3">
      <c r="A725" s="530" t="str">
        <f t="shared" si="20"/>
        <v>Gwynedd.2015.Accommodation - Establishments.All Accommodation Types</v>
      </c>
      <c r="B725" s="530" t="s">
        <v>219</v>
      </c>
      <c r="C725" s="530" t="str">
        <f t="shared" si="21"/>
        <v>2015.Accommodation - Establishments.All Accommodation Types</v>
      </c>
      <c r="D725" s="530" t="s">
        <v>234</v>
      </c>
      <c r="E725" s="530" t="s">
        <v>150</v>
      </c>
      <c r="F725" s="530" t="s">
        <v>163</v>
      </c>
      <c r="G725" s="530" t="s">
        <v>38</v>
      </c>
      <c r="H725" s="530"/>
      <c r="I725" s="530"/>
      <c r="J725" s="530"/>
      <c r="K725" s="530"/>
      <c r="L725" s="530"/>
      <c r="M725" s="530"/>
      <c r="N725" s="530"/>
      <c r="O725" s="530"/>
      <c r="P725" s="530"/>
      <c r="Q725" s="530"/>
      <c r="R725" s="530"/>
      <c r="S725" s="530"/>
      <c r="T725" s="530">
        <v>2437</v>
      </c>
      <c r="U725" s="530" t="s">
        <v>149</v>
      </c>
    </row>
    <row r="726" spans="1:21" ht="13.8" x14ac:dyDescent="0.3">
      <c r="A726" s="530" t="str">
        <f t="shared" si="20"/>
        <v>Gwynedd.2015.Accommodation - Bed Spaces.Serviced Accommodation 1</v>
      </c>
      <c r="B726" s="530" t="s">
        <v>219</v>
      </c>
      <c r="C726" s="530" t="str">
        <f t="shared" si="21"/>
        <v>2015.Accommodation - Bed Spaces.Serviced Accommodation 1</v>
      </c>
      <c r="D726" s="530" t="s">
        <v>234</v>
      </c>
      <c r="E726" s="530" t="s">
        <v>164</v>
      </c>
      <c r="F726" s="530" t="s">
        <v>151</v>
      </c>
      <c r="G726" s="530" t="s">
        <v>221</v>
      </c>
      <c r="H726" s="530"/>
      <c r="I726" s="530"/>
      <c r="J726" s="530"/>
      <c r="K726" s="530"/>
      <c r="L726" s="530"/>
      <c r="M726" s="530"/>
      <c r="N726" s="530"/>
      <c r="O726" s="530"/>
      <c r="P726" s="530"/>
      <c r="Q726" s="530"/>
      <c r="R726" s="530"/>
      <c r="S726" s="530"/>
      <c r="T726" s="530">
        <v>1391</v>
      </c>
      <c r="U726" s="530" t="s">
        <v>58</v>
      </c>
    </row>
    <row r="727" spans="1:21" ht="13.8" x14ac:dyDescent="0.3">
      <c r="A727" s="530" t="str">
        <f t="shared" si="20"/>
        <v>Gwynedd.2015.Accommodation - Bed Spaces.Serviced Accommodation 2</v>
      </c>
      <c r="B727" s="530" t="s">
        <v>219</v>
      </c>
      <c r="C727" s="530" t="str">
        <f t="shared" si="21"/>
        <v>2015.Accommodation - Bed Spaces.Serviced Accommodation 2</v>
      </c>
      <c r="D727" s="530" t="s">
        <v>234</v>
      </c>
      <c r="E727" s="530" t="s">
        <v>164</v>
      </c>
      <c r="F727" s="530" t="s">
        <v>152</v>
      </c>
      <c r="G727" s="530" t="s">
        <v>222</v>
      </c>
      <c r="H727" s="530"/>
      <c r="I727" s="530"/>
      <c r="J727" s="530"/>
      <c r="K727" s="530"/>
      <c r="L727" s="530"/>
      <c r="M727" s="530"/>
      <c r="N727" s="530"/>
      <c r="O727" s="530"/>
      <c r="P727" s="530"/>
      <c r="Q727" s="530"/>
      <c r="R727" s="530"/>
      <c r="S727" s="530"/>
      <c r="T727" s="530">
        <v>2069</v>
      </c>
      <c r="U727" s="530" t="s">
        <v>58</v>
      </c>
    </row>
    <row r="728" spans="1:21" ht="13.8" x14ac:dyDescent="0.3">
      <c r="A728" s="530" t="str">
        <f t="shared" si="20"/>
        <v>Gwynedd.2015.Accommodation - Bed Spaces.Serviced Accommodation 3</v>
      </c>
      <c r="B728" s="530" t="s">
        <v>219</v>
      </c>
      <c r="C728" s="530" t="str">
        <f t="shared" si="21"/>
        <v>2015.Accommodation - Bed Spaces.Serviced Accommodation 3</v>
      </c>
      <c r="D728" s="530" t="s">
        <v>234</v>
      </c>
      <c r="E728" s="530" t="s">
        <v>164</v>
      </c>
      <c r="F728" s="530" t="s">
        <v>153</v>
      </c>
      <c r="G728" s="530" t="s">
        <v>223</v>
      </c>
      <c r="H728" s="530"/>
      <c r="I728" s="530"/>
      <c r="J728" s="530"/>
      <c r="K728" s="530"/>
      <c r="L728" s="530"/>
      <c r="M728" s="530"/>
      <c r="N728" s="530"/>
      <c r="O728" s="530"/>
      <c r="P728" s="530"/>
      <c r="Q728" s="530"/>
      <c r="R728" s="530"/>
      <c r="S728" s="530"/>
      <c r="T728" s="530">
        <v>2725</v>
      </c>
      <c r="U728" s="530" t="s">
        <v>58</v>
      </c>
    </row>
    <row r="729" spans="1:21" ht="13.8" x14ac:dyDescent="0.3">
      <c r="A729" s="530" t="str">
        <f t="shared" si="20"/>
        <v>Gwynedd.2015.Accommodation - Bed Spaces.Serviced Accommodation 4</v>
      </c>
      <c r="B729" s="530" t="s">
        <v>219</v>
      </c>
      <c r="C729" s="530" t="str">
        <f t="shared" si="21"/>
        <v>2015.Accommodation - Bed Spaces.Serviced Accommodation 4</v>
      </c>
      <c r="D729" s="530" t="s">
        <v>234</v>
      </c>
      <c r="E729" s="530" t="s">
        <v>164</v>
      </c>
      <c r="F729" s="530" t="s">
        <v>154</v>
      </c>
      <c r="G729" s="530" t="s">
        <v>224</v>
      </c>
      <c r="H729" s="530"/>
      <c r="I729" s="530"/>
      <c r="J729" s="530"/>
      <c r="K729" s="530"/>
      <c r="L729" s="530"/>
      <c r="M729" s="530"/>
      <c r="N729" s="530"/>
      <c r="O729" s="530"/>
      <c r="P729" s="530"/>
      <c r="Q729" s="530"/>
      <c r="R729" s="530"/>
      <c r="S729" s="530"/>
      <c r="T729" s="530" t="s">
        <v>224</v>
      </c>
      <c r="U729" s="530" t="s">
        <v>58</v>
      </c>
    </row>
    <row r="730" spans="1:21" ht="13.8" x14ac:dyDescent="0.3">
      <c r="A730" s="530" t="str">
        <f t="shared" si="20"/>
        <v>Gwynedd.2015.Accommodation - Bed Spaces.Serviced Accommodation 5</v>
      </c>
      <c r="B730" s="530" t="s">
        <v>219</v>
      </c>
      <c r="C730" s="530" t="str">
        <f t="shared" si="21"/>
        <v>2015.Accommodation - Bed Spaces.Serviced Accommodation 5</v>
      </c>
      <c r="D730" s="530" t="s">
        <v>234</v>
      </c>
      <c r="E730" s="530" t="s">
        <v>164</v>
      </c>
      <c r="F730" s="530" t="s">
        <v>155</v>
      </c>
      <c r="G730" s="530" t="s">
        <v>224</v>
      </c>
      <c r="H730" s="530"/>
      <c r="I730" s="530"/>
      <c r="J730" s="530"/>
      <c r="K730" s="530"/>
      <c r="L730" s="530"/>
      <c r="M730" s="530"/>
      <c r="N730" s="530"/>
      <c r="O730" s="530"/>
      <c r="P730" s="530"/>
      <c r="Q730" s="530"/>
      <c r="R730" s="530"/>
      <c r="S730" s="530"/>
      <c r="T730" s="530" t="s">
        <v>224</v>
      </c>
      <c r="U730" s="530" t="s">
        <v>58</v>
      </c>
    </row>
    <row r="731" spans="1:21" ht="13.8" x14ac:dyDescent="0.3">
      <c r="A731" s="530" t="str">
        <f t="shared" si="20"/>
        <v>Gwynedd.2015.Accommodation - Bed Spaces.Serviced Accommodation Total</v>
      </c>
      <c r="B731" s="530" t="s">
        <v>219</v>
      </c>
      <c r="C731" s="530" t="str">
        <f t="shared" si="21"/>
        <v>2015.Accommodation - Bed Spaces.Serviced Accommodation Total</v>
      </c>
      <c r="D731" s="530" t="s">
        <v>234</v>
      </c>
      <c r="E731" s="530" t="s">
        <v>164</v>
      </c>
      <c r="F731" s="530" t="s">
        <v>161</v>
      </c>
      <c r="G731" s="530" t="s">
        <v>225</v>
      </c>
      <c r="H731" s="530"/>
      <c r="I731" s="530"/>
      <c r="J731" s="530"/>
      <c r="K731" s="530"/>
      <c r="L731" s="530"/>
      <c r="M731" s="530"/>
      <c r="N731" s="530"/>
      <c r="O731" s="530"/>
      <c r="P731" s="530"/>
      <c r="Q731" s="530"/>
      <c r="R731" s="530"/>
      <c r="S731" s="530"/>
      <c r="T731" s="530">
        <v>6185</v>
      </c>
      <c r="U731" s="530" t="s">
        <v>58</v>
      </c>
    </row>
    <row r="732" spans="1:21" ht="13.8" x14ac:dyDescent="0.3">
      <c r="A732" s="530" t="str">
        <f t="shared" si="20"/>
        <v>Gwynedd.2015.Accommodation - Bed Spaces.Non-Serviced Accommodation 1</v>
      </c>
      <c r="B732" s="530" t="s">
        <v>219</v>
      </c>
      <c r="C732" s="530" t="str">
        <f t="shared" si="21"/>
        <v>2015.Accommodation - Bed Spaces.Non-Serviced Accommodation 1</v>
      </c>
      <c r="D732" s="530" t="s">
        <v>234</v>
      </c>
      <c r="E732" s="530" t="s">
        <v>164</v>
      </c>
      <c r="F732" s="530" t="s">
        <v>156</v>
      </c>
      <c r="G732" s="530" t="s">
        <v>226</v>
      </c>
      <c r="H732" s="530"/>
      <c r="I732" s="530"/>
      <c r="J732" s="530"/>
      <c r="K732" s="530"/>
      <c r="L732" s="530"/>
      <c r="M732" s="530"/>
      <c r="N732" s="530"/>
      <c r="O732" s="530"/>
      <c r="P732" s="530"/>
      <c r="Q732" s="530"/>
      <c r="R732" s="530"/>
      <c r="S732" s="530"/>
      <c r="T732" s="530">
        <v>12587</v>
      </c>
      <c r="U732" s="530" t="s">
        <v>58</v>
      </c>
    </row>
    <row r="733" spans="1:21" ht="13.8" x14ac:dyDescent="0.3">
      <c r="A733" s="530" t="str">
        <f t="shared" si="20"/>
        <v>Gwynedd.2015.Accommodation - Bed Spaces.Non-Serviced Accommodation 2</v>
      </c>
      <c r="B733" s="530" t="s">
        <v>219</v>
      </c>
      <c r="C733" s="530" t="str">
        <f t="shared" si="21"/>
        <v>2015.Accommodation - Bed Spaces.Non-Serviced Accommodation 2</v>
      </c>
      <c r="D733" s="530" t="s">
        <v>234</v>
      </c>
      <c r="E733" s="530" t="s">
        <v>164</v>
      </c>
      <c r="F733" s="530" t="s">
        <v>157</v>
      </c>
      <c r="G733" s="530" t="s">
        <v>227</v>
      </c>
      <c r="H733" s="530"/>
      <c r="I733" s="530"/>
      <c r="J733" s="530"/>
      <c r="K733" s="530"/>
      <c r="L733" s="530"/>
      <c r="M733" s="530"/>
      <c r="N733" s="530"/>
      <c r="O733" s="530"/>
      <c r="P733" s="530"/>
      <c r="Q733" s="530"/>
      <c r="R733" s="530"/>
      <c r="S733" s="530"/>
      <c r="T733" s="530">
        <v>8010.8884688090693</v>
      </c>
      <c r="U733" s="530" t="s">
        <v>58</v>
      </c>
    </row>
    <row r="734" spans="1:21" ht="13.8" x14ac:dyDescent="0.3">
      <c r="A734" s="530" t="str">
        <f t="shared" si="20"/>
        <v>Gwynedd.2015.Accommodation - Bed Spaces.Non-Serviced Accommodation 3</v>
      </c>
      <c r="B734" s="530" t="s">
        <v>219</v>
      </c>
      <c r="C734" s="530" t="str">
        <f t="shared" si="21"/>
        <v>2015.Accommodation - Bed Spaces.Non-Serviced Accommodation 3</v>
      </c>
      <c r="D734" s="530" t="s">
        <v>234</v>
      </c>
      <c r="E734" s="530" t="s">
        <v>164</v>
      </c>
      <c r="F734" s="530" t="s">
        <v>158</v>
      </c>
      <c r="G734" s="530" t="s">
        <v>228</v>
      </c>
      <c r="H734" s="530"/>
      <c r="I734" s="530"/>
      <c r="J734" s="530"/>
      <c r="K734" s="530"/>
      <c r="L734" s="530"/>
      <c r="M734" s="530"/>
      <c r="N734" s="530"/>
      <c r="O734" s="530"/>
      <c r="P734" s="530"/>
      <c r="Q734" s="530"/>
      <c r="R734" s="530"/>
      <c r="S734" s="530"/>
      <c r="T734" s="530">
        <v>30360</v>
      </c>
      <c r="U734" s="530" t="s">
        <v>58</v>
      </c>
    </row>
    <row r="735" spans="1:21" ht="13.8" x14ac:dyDescent="0.3">
      <c r="A735" s="530" t="str">
        <f t="shared" si="20"/>
        <v>Gwynedd.2015.Accommodation - Bed Spaces.Non-Serviced Accommodation 4</v>
      </c>
      <c r="B735" s="530" t="s">
        <v>219</v>
      </c>
      <c r="C735" s="530" t="str">
        <f t="shared" si="21"/>
        <v>2015.Accommodation - Bed Spaces.Non-Serviced Accommodation 4</v>
      </c>
      <c r="D735" s="530" t="s">
        <v>234</v>
      </c>
      <c r="E735" s="530" t="s">
        <v>164</v>
      </c>
      <c r="F735" s="530" t="s">
        <v>159</v>
      </c>
      <c r="G735" s="530" t="s">
        <v>229</v>
      </c>
      <c r="H735" s="530"/>
      <c r="I735" s="530"/>
      <c r="J735" s="530"/>
      <c r="K735" s="530"/>
      <c r="L735" s="530"/>
      <c r="M735" s="530"/>
      <c r="N735" s="530"/>
      <c r="O735" s="530"/>
      <c r="P735" s="530"/>
      <c r="Q735" s="530"/>
      <c r="R735" s="530"/>
      <c r="S735" s="530"/>
      <c r="T735" s="530">
        <v>47484.910904595446</v>
      </c>
      <c r="U735" s="530" t="s">
        <v>58</v>
      </c>
    </row>
    <row r="736" spans="1:21" ht="13.8" x14ac:dyDescent="0.3">
      <c r="A736" s="530" t="str">
        <f t="shared" si="20"/>
        <v>Gwynedd.2015.Accommodation - Bed Spaces.Non-Serviced Accommodation 5</v>
      </c>
      <c r="B736" s="530" t="s">
        <v>219</v>
      </c>
      <c r="C736" s="530" t="str">
        <f t="shared" si="21"/>
        <v>2015.Accommodation - Bed Spaces.Non-Serviced Accommodation 5</v>
      </c>
      <c r="D736" s="530" t="s">
        <v>234</v>
      </c>
      <c r="E736" s="530" t="s">
        <v>164</v>
      </c>
      <c r="F736" s="530" t="s">
        <v>160</v>
      </c>
      <c r="G736" s="530" t="s">
        <v>224</v>
      </c>
      <c r="H736" s="530"/>
      <c r="I736" s="530"/>
      <c r="J736" s="530"/>
      <c r="K736" s="530"/>
      <c r="L736" s="530"/>
      <c r="M736" s="530"/>
      <c r="N736" s="530"/>
      <c r="O736" s="530"/>
      <c r="P736" s="530"/>
      <c r="Q736" s="530"/>
      <c r="R736" s="530"/>
      <c r="S736" s="530"/>
      <c r="T736" s="530" t="s">
        <v>224</v>
      </c>
      <c r="U736" s="530" t="s">
        <v>58</v>
      </c>
    </row>
    <row r="737" spans="1:21" ht="13.8" x14ac:dyDescent="0.3">
      <c r="A737" s="530" t="str">
        <f t="shared" si="20"/>
        <v>Gwynedd.2015.Accommodation - Bed Spaces.Non-Serviced Accommodation Total</v>
      </c>
      <c r="B737" s="530" t="s">
        <v>219</v>
      </c>
      <c r="C737" s="530" t="str">
        <f t="shared" si="21"/>
        <v>2015.Accommodation - Bed Spaces.Non-Serviced Accommodation Total</v>
      </c>
      <c r="D737" s="530" t="s">
        <v>234</v>
      </c>
      <c r="E737" s="530" t="s">
        <v>164</v>
      </c>
      <c r="F737" s="530" t="s">
        <v>162</v>
      </c>
      <c r="G737" s="530" t="s">
        <v>230</v>
      </c>
      <c r="H737" s="530"/>
      <c r="I737" s="530"/>
      <c r="J737" s="530"/>
      <c r="K737" s="530"/>
      <c r="L737" s="530"/>
      <c r="M737" s="530"/>
      <c r="N737" s="530"/>
      <c r="O737" s="530"/>
      <c r="P737" s="530"/>
      <c r="Q737" s="530"/>
      <c r="R737" s="530"/>
      <c r="S737" s="530"/>
      <c r="T737" s="530">
        <v>98442.799373404516</v>
      </c>
      <c r="U737" s="530" t="s">
        <v>58</v>
      </c>
    </row>
    <row r="738" spans="1:21" ht="13.8" x14ac:dyDescent="0.3">
      <c r="A738" s="530" t="str">
        <f t="shared" si="20"/>
        <v>Gwynedd.2015.Accommodation - Bed Spaces.All Accommodation Types</v>
      </c>
      <c r="B738" s="530" t="s">
        <v>219</v>
      </c>
      <c r="C738" s="530" t="str">
        <f t="shared" si="21"/>
        <v>2015.Accommodation - Bed Spaces.All Accommodation Types</v>
      </c>
      <c r="D738" s="530" t="s">
        <v>234</v>
      </c>
      <c r="E738" s="530" t="s">
        <v>164</v>
      </c>
      <c r="F738" s="530" t="s">
        <v>163</v>
      </c>
      <c r="G738" s="530" t="s">
        <v>38</v>
      </c>
      <c r="H738" s="530"/>
      <c r="I738" s="530"/>
      <c r="J738" s="530"/>
      <c r="K738" s="530"/>
      <c r="L738" s="530"/>
      <c r="M738" s="530"/>
      <c r="N738" s="530"/>
      <c r="O738" s="530"/>
      <c r="P738" s="530"/>
      <c r="Q738" s="530"/>
      <c r="R738" s="530"/>
      <c r="S738" s="530"/>
      <c r="T738" s="530">
        <v>104627.79937340452</v>
      </c>
      <c r="U738" s="530" t="s">
        <v>58</v>
      </c>
    </row>
    <row r="739" spans="1:21" ht="13.8" x14ac:dyDescent="0.3">
      <c r="A739" s="530" t="str">
        <f t="shared" si="20"/>
        <v>Gwynedd.2016.Accommodation - Establishments.Serviced Accommodation 1</v>
      </c>
      <c r="B739" s="530" t="s">
        <v>219</v>
      </c>
      <c r="C739" s="530" t="str">
        <f t="shared" si="21"/>
        <v>2016.Accommodation - Establishments.Serviced Accommodation 1</v>
      </c>
      <c r="D739" s="530" t="s">
        <v>235</v>
      </c>
      <c r="E739" s="530" t="s">
        <v>150</v>
      </c>
      <c r="F739" s="530" t="s">
        <v>151</v>
      </c>
      <c r="G739" s="530" t="s">
        <v>221</v>
      </c>
      <c r="H739" s="530"/>
      <c r="I739" s="530"/>
      <c r="J739" s="530"/>
      <c r="K739" s="530"/>
      <c r="L739" s="530"/>
      <c r="M739" s="530"/>
      <c r="N739" s="530"/>
      <c r="O739" s="530"/>
      <c r="P739" s="530"/>
      <c r="Q739" s="530"/>
      <c r="R739" s="530"/>
      <c r="S739" s="530"/>
      <c r="T739" s="530">
        <v>7</v>
      </c>
      <c r="U739" s="530" t="s">
        <v>149</v>
      </c>
    </row>
    <row r="740" spans="1:21" ht="13.8" x14ac:dyDescent="0.3">
      <c r="A740" s="530" t="str">
        <f t="shared" si="20"/>
        <v>Gwynedd.2016.Accommodation - Establishments.Serviced Accommodation 2</v>
      </c>
      <c r="B740" s="530" t="s">
        <v>219</v>
      </c>
      <c r="C740" s="530" t="str">
        <f t="shared" si="21"/>
        <v>2016.Accommodation - Establishments.Serviced Accommodation 2</v>
      </c>
      <c r="D740" s="530" t="s">
        <v>235</v>
      </c>
      <c r="E740" s="530" t="s">
        <v>150</v>
      </c>
      <c r="F740" s="530" t="s">
        <v>152</v>
      </c>
      <c r="G740" s="530" t="s">
        <v>222</v>
      </c>
      <c r="H740" s="530"/>
      <c r="I740" s="530"/>
      <c r="J740" s="530"/>
      <c r="K740" s="530"/>
      <c r="L740" s="530"/>
      <c r="M740" s="530"/>
      <c r="N740" s="530"/>
      <c r="O740" s="530"/>
      <c r="P740" s="530"/>
      <c r="Q740" s="530"/>
      <c r="R740" s="530"/>
      <c r="S740" s="530"/>
      <c r="T740" s="530">
        <v>51</v>
      </c>
      <c r="U740" s="530" t="s">
        <v>149</v>
      </c>
    </row>
    <row r="741" spans="1:21" ht="13.8" x14ac:dyDescent="0.3">
      <c r="A741" s="530" t="str">
        <f t="shared" si="20"/>
        <v>Gwynedd.2016.Accommodation - Establishments.Serviced Accommodation 3</v>
      </c>
      <c r="B741" s="530" t="s">
        <v>219</v>
      </c>
      <c r="C741" s="530" t="str">
        <f t="shared" si="21"/>
        <v>2016.Accommodation - Establishments.Serviced Accommodation 3</v>
      </c>
      <c r="D741" s="530" t="s">
        <v>235</v>
      </c>
      <c r="E741" s="530" t="s">
        <v>150</v>
      </c>
      <c r="F741" s="530" t="s">
        <v>153</v>
      </c>
      <c r="G741" s="530" t="s">
        <v>223</v>
      </c>
      <c r="H741" s="530"/>
      <c r="I741" s="530"/>
      <c r="J741" s="530"/>
      <c r="K741" s="530"/>
      <c r="L741" s="530"/>
      <c r="M741" s="530"/>
      <c r="N741" s="530"/>
      <c r="O741" s="530"/>
      <c r="P741" s="530"/>
      <c r="Q741" s="530"/>
      <c r="R741" s="530"/>
      <c r="S741" s="530"/>
      <c r="T741" s="530">
        <v>272</v>
      </c>
      <c r="U741" s="530" t="s">
        <v>149</v>
      </c>
    </row>
    <row r="742" spans="1:21" ht="13.8" x14ac:dyDescent="0.3">
      <c r="A742" s="530" t="str">
        <f t="shared" si="20"/>
        <v>Gwynedd.2016.Accommodation - Establishments.Serviced Accommodation 4</v>
      </c>
      <c r="B742" s="530" t="s">
        <v>219</v>
      </c>
      <c r="C742" s="530" t="str">
        <f t="shared" si="21"/>
        <v>2016.Accommodation - Establishments.Serviced Accommodation 4</v>
      </c>
      <c r="D742" s="530" t="s">
        <v>235</v>
      </c>
      <c r="E742" s="530" t="s">
        <v>150</v>
      </c>
      <c r="F742" s="530" t="s">
        <v>154</v>
      </c>
      <c r="G742" s="530" t="s">
        <v>224</v>
      </c>
      <c r="H742" s="530"/>
      <c r="I742" s="530"/>
      <c r="J742" s="530"/>
      <c r="K742" s="530"/>
      <c r="L742" s="530"/>
      <c r="M742" s="530"/>
      <c r="N742" s="530"/>
      <c r="O742" s="530"/>
      <c r="P742" s="530"/>
      <c r="Q742" s="530"/>
      <c r="R742" s="530"/>
      <c r="S742" s="530"/>
      <c r="T742" s="530" t="s">
        <v>224</v>
      </c>
      <c r="U742" s="530" t="s">
        <v>149</v>
      </c>
    </row>
    <row r="743" spans="1:21" ht="13.8" x14ac:dyDescent="0.3">
      <c r="A743" s="530" t="str">
        <f t="shared" si="20"/>
        <v>Gwynedd.2016.Accommodation - Establishments.Serviced Accommodation 5</v>
      </c>
      <c r="B743" s="530" t="s">
        <v>219</v>
      </c>
      <c r="C743" s="530" t="str">
        <f t="shared" si="21"/>
        <v>2016.Accommodation - Establishments.Serviced Accommodation 5</v>
      </c>
      <c r="D743" s="530" t="s">
        <v>235</v>
      </c>
      <c r="E743" s="530" t="s">
        <v>150</v>
      </c>
      <c r="F743" s="530" t="s">
        <v>155</v>
      </c>
      <c r="G743" s="530" t="s">
        <v>224</v>
      </c>
      <c r="H743" s="530"/>
      <c r="I743" s="530"/>
      <c r="J743" s="530"/>
      <c r="K743" s="530"/>
      <c r="L743" s="530"/>
      <c r="M743" s="530"/>
      <c r="N743" s="530"/>
      <c r="O743" s="530"/>
      <c r="P743" s="530"/>
      <c r="Q743" s="530"/>
      <c r="R743" s="530"/>
      <c r="S743" s="530"/>
      <c r="T743" s="530" t="s">
        <v>224</v>
      </c>
      <c r="U743" s="530" t="s">
        <v>149</v>
      </c>
    </row>
    <row r="744" spans="1:21" ht="15" customHeight="1" x14ac:dyDescent="0.3">
      <c r="A744" s="530" t="str">
        <f t="shared" si="20"/>
        <v>Gwynedd.2016.Accommodation - Establishments.Serviced Accommodation Total</v>
      </c>
      <c r="B744" s="530" t="s">
        <v>219</v>
      </c>
      <c r="C744" s="530" t="str">
        <f t="shared" si="21"/>
        <v>2016.Accommodation - Establishments.Serviced Accommodation Total</v>
      </c>
      <c r="D744" s="530" t="s">
        <v>235</v>
      </c>
      <c r="E744" s="530" t="s">
        <v>150</v>
      </c>
      <c r="F744" s="530" t="s">
        <v>161</v>
      </c>
      <c r="G744" s="530" t="s">
        <v>225</v>
      </c>
      <c r="H744" s="530"/>
      <c r="I744" s="530"/>
      <c r="J744" s="530"/>
      <c r="K744" s="530"/>
      <c r="L744" s="530"/>
      <c r="M744" s="530"/>
      <c r="N744" s="530"/>
      <c r="O744" s="530"/>
      <c r="P744" s="530"/>
      <c r="Q744" s="530"/>
      <c r="R744" s="530"/>
      <c r="S744" s="530"/>
      <c r="T744" s="530">
        <v>330</v>
      </c>
      <c r="U744" s="530" t="s">
        <v>149</v>
      </c>
    </row>
    <row r="745" spans="1:21" ht="15" customHeight="1" x14ac:dyDescent="0.3">
      <c r="A745" s="530" t="str">
        <f t="shared" si="20"/>
        <v>Gwynedd.2016.Accommodation - Establishments.Non-Serviced Accommodation 1</v>
      </c>
      <c r="B745" s="530" t="s">
        <v>219</v>
      </c>
      <c r="C745" s="530" t="str">
        <f t="shared" si="21"/>
        <v>2016.Accommodation - Establishments.Non-Serviced Accommodation 1</v>
      </c>
      <c r="D745" s="530" t="s">
        <v>235</v>
      </c>
      <c r="E745" s="530" t="s">
        <v>150</v>
      </c>
      <c r="F745" s="530" t="s">
        <v>156</v>
      </c>
      <c r="G745" s="530" t="s">
        <v>226</v>
      </c>
      <c r="H745" s="530"/>
      <c r="I745" s="530"/>
      <c r="J745" s="530"/>
      <c r="K745" s="530"/>
      <c r="L745" s="530"/>
      <c r="M745" s="530"/>
      <c r="N745" s="530"/>
      <c r="O745" s="530"/>
      <c r="P745" s="530"/>
      <c r="Q745" s="530"/>
      <c r="R745" s="530"/>
      <c r="S745" s="530"/>
      <c r="T745" s="530">
        <v>1820</v>
      </c>
      <c r="U745" s="530" t="s">
        <v>149</v>
      </c>
    </row>
    <row r="746" spans="1:21" ht="15" customHeight="1" x14ac:dyDescent="0.3">
      <c r="A746" s="530" t="str">
        <f t="shared" si="20"/>
        <v>Gwynedd.2016.Accommodation - Establishments.Non-Serviced Accommodation 2</v>
      </c>
      <c r="B746" s="530" t="s">
        <v>219</v>
      </c>
      <c r="C746" s="530" t="str">
        <f t="shared" si="21"/>
        <v>2016.Accommodation - Establishments.Non-Serviced Accommodation 2</v>
      </c>
      <c r="D746" s="530" t="s">
        <v>235</v>
      </c>
      <c r="E746" s="530" t="s">
        <v>150</v>
      </c>
      <c r="F746" s="530" t="s">
        <v>157</v>
      </c>
      <c r="G746" s="530" t="s">
        <v>227</v>
      </c>
      <c r="H746" s="530"/>
      <c r="I746" s="530"/>
      <c r="J746" s="530"/>
      <c r="K746" s="530"/>
      <c r="L746" s="530"/>
      <c r="M746" s="530"/>
      <c r="N746" s="530"/>
      <c r="O746" s="530"/>
      <c r="P746" s="530"/>
      <c r="Q746" s="530"/>
      <c r="R746" s="530"/>
      <c r="S746" s="530"/>
      <c r="T746" s="530">
        <v>125</v>
      </c>
      <c r="U746" s="530" t="s">
        <v>149</v>
      </c>
    </row>
    <row r="747" spans="1:21" ht="15" customHeight="1" x14ac:dyDescent="0.3">
      <c r="A747" s="530" t="str">
        <f t="shared" si="20"/>
        <v>Gwynedd.2016.Accommodation - Establishments.Non-Serviced Accommodation 3</v>
      </c>
      <c r="B747" s="530" t="s">
        <v>219</v>
      </c>
      <c r="C747" s="530" t="str">
        <f t="shared" si="21"/>
        <v>2016.Accommodation - Establishments.Non-Serviced Accommodation 3</v>
      </c>
      <c r="D747" s="530" t="s">
        <v>235</v>
      </c>
      <c r="E747" s="530" t="s">
        <v>150</v>
      </c>
      <c r="F747" s="530" t="s">
        <v>158</v>
      </c>
      <c r="G747" s="530" t="s">
        <v>228</v>
      </c>
      <c r="H747" s="530"/>
      <c r="I747" s="530"/>
      <c r="J747" s="530"/>
      <c r="K747" s="530"/>
      <c r="L747" s="530"/>
      <c r="M747" s="530"/>
      <c r="N747" s="530"/>
      <c r="O747" s="530"/>
      <c r="P747" s="530"/>
      <c r="Q747" s="530"/>
      <c r="R747" s="530"/>
      <c r="S747" s="530"/>
      <c r="T747" s="530">
        <v>162</v>
      </c>
      <c r="U747" s="530" t="s">
        <v>149</v>
      </c>
    </row>
    <row r="748" spans="1:21" ht="15" customHeight="1" x14ac:dyDescent="0.3">
      <c r="A748" s="530" t="str">
        <f t="shared" si="20"/>
        <v>Gwynedd.2016.Accommodation - Establishments.Non-Serviced Accommodation 4</v>
      </c>
      <c r="B748" s="530" t="s">
        <v>219</v>
      </c>
      <c r="C748" s="530" t="str">
        <f t="shared" si="21"/>
        <v>2016.Accommodation - Establishments.Non-Serviced Accommodation 4</v>
      </c>
      <c r="D748" s="530" t="s">
        <v>235</v>
      </c>
      <c r="E748" s="530" t="s">
        <v>150</v>
      </c>
      <c r="F748" s="530" t="s">
        <v>159</v>
      </c>
      <c r="G748" s="530" t="s">
        <v>229</v>
      </c>
      <c r="H748" s="530"/>
      <c r="I748" s="530"/>
      <c r="J748" s="530"/>
      <c r="K748" s="530"/>
      <c r="L748" s="530"/>
      <c r="M748" s="530"/>
      <c r="N748" s="530"/>
      <c r="O748" s="530"/>
      <c r="P748" s="530"/>
      <c r="Q748" s="530"/>
      <c r="R748" s="530"/>
      <c r="S748" s="530"/>
      <c r="T748" s="530">
        <v>0</v>
      </c>
      <c r="U748" s="530" t="s">
        <v>149</v>
      </c>
    </row>
    <row r="749" spans="1:21" ht="15" customHeight="1" x14ac:dyDescent="0.3">
      <c r="A749" s="530" t="str">
        <f t="shared" si="20"/>
        <v>Gwynedd.2016.Accommodation - Establishments.Non-Serviced Accommodation 5</v>
      </c>
      <c r="B749" s="530" t="s">
        <v>219</v>
      </c>
      <c r="C749" s="530" t="str">
        <f t="shared" si="21"/>
        <v>2016.Accommodation - Establishments.Non-Serviced Accommodation 5</v>
      </c>
      <c r="D749" s="530" t="s">
        <v>235</v>
      </c>
      <c r="E749" s="530" t="s">
        <v>150</v>
      </c>
      <c r="F749" s="530" t="s">
        <v>160</v>
      </c>
      <c r="G749" s="530" t="s">
        <v>224</v>
      </c>
      <c r="H749" s="530"/>
      <c r="I749" s="530"/>
      <c r="J749" s="530"/>
      <c r="K749" s="530"/>
      <c r="L749" s="530"/>
      <c r="M749" s="530"/>
      <c r="N749" s="530"/>
      <c r="O749" s="530"/>
      <c r="P749" s="530"/>
      <c r="Q749" s="530"/>
      <c r="R749" s="530"/>
      <c r="S749" s="530"/>
      <c r="T749" s="530" t="s">
        <v>224</v>
      </c>
      <c r="U749" s="530" t="s">
        <v>149</v>
      </c>
    </row>
    <row r="750" spans="1:21" ht="15" customHeight="1" x14ac:dyDescent="0.3">
      <c r="A750" s="530" t="str">
        <f t="shared" si="20"/>
        <v>Gwynedd.2016.Accommodation - Establishments.Non-Serviced Accommodation Total</v>
      </c>
      <c r="B750" s="530" t="s">
        <v>219</v>
      </c>
      <c r="C750" s="530" t="str">
        <f t="shared" si="21"/>
        <v>2016.Accommodation - Establishments.Non-Serviced Accommodation Total</v>
      </c>
      <c r="D750" s="530" t="s">
        <v>235</v>
      </c>
      <c r="E750" s="530" t="s">
        <v>150</v>
      </c>
      <c r="F750" s="530" t="s">
        <v>162</v>
      </c>
      <c r="G750" s="530" t="s">
        <v>230</v>
      </c>
      <c r="H750" s="530"/>
      <c r="I750" s="530"/>
      <c r="J750" s="530"/>
      <c r="K750" s="530"/>
      <c r="L750" s="530"/>
      <c r="M750" s="530"/>
      <c r="N750" s="530"/>
      <c r="O750" s="530"/>
      <c r="P750" s="530"/>
      <c r="Q750" s="530"/>
      <c r="R750" s="530"/>
      <c r="S750" s="530"/>
      <c r="T750" s="530">
        <v>2107</v>
      </c>
      <c r="U750" s="530" t="s">
        <v>149</v>
      </c>
    </row>
    <row r="751" spans="1:21" ht="15" customHeight="1" x14ac:dyDescent="0.3">
      <c r="A751" s="530" t="str">
        <f t="shared" si="20"/>
        <v>Gwynedd.2016.Accommodation - Establishments.All Accommodation Types</v>
      </c>
      <c r="B751" s="530" t="s">
        <v>219</v>
      </c>
      <c r="C751" s="530" t="str">
        <f t="shared" si="21"/>
        <v>2016.Accommodation - Establishments.All Accommodation Types</v>
      </c>
      <c r="D751" s="530" t="s">
        <v>235</v>
      </c>
      <c r="E751" s="530" t="s">
        <v>150</v>
      </c>
      <c r="F751" s="530" t="s">
        <v>163</v>
      </c>
      <c r="G751" s="530" t="s">
        <v>38</v>
      </c>
      <c r="H751" s="530"/>
      <c r="I751" s="530"/>
      <c r="J751" s="530"/>
      <c r="K751" s="530"/>
      <c r="L751" s="530"/>
      <c r="M751" s="530"/>
      <c r="N751" s="530"/>
      <c r="O751" s="530"/>
      <c r="P751" s="530"/>
      <c r="Q751" s="530"/>
      <c r="R751" s="530"/>
      <c r="S751" s="530"/>
      <c r="T751" s="530">
        <v>2437</v>
      </c>
      <c r="U751" s="530" t="s">
        <v>149</v>
      </c>
    </row>
    <row r="752" spans="1:21" ht="13.8" x14ac:dyDescent="0.3">
      <c r="A752" s="530" t="str">
        <f t="shared" si="20"/>
        <v>Gwynedd.2016.Accommodation - Bed Spaces.Serviced Accommodation 1</v>
      </c>
      <c r="B752" s="530" t="s">
        <v>219</v>
      </c>
      <c r="C752" s="530" t="str">
        <f t="shared" si="21"/>
        <v>2016.Accommodation - Bed Spaces.Serviced Accommodation 1</v>
      </c>
      <c r="D752" s="530" t="s">
        <v>235</v>
      </c>
      <c r="E752" s="530" t="s">
        <v>164</v>
      </c>
      <c r="F752" s="530" t="s">
        <v>151</v>
      </c>
      <c r="G752" s="530" t="s">
        <v>221</v>
      </c>
      <c r="H752" s="530"/>
      <c r="I752" s="530"/>
      <c r="J752" s="530"/>
      <c r="K752" s="530"/>
      <c r="L752" s="530"/>
      <c r="M752" s="530"/>
      <c r="N752" s="530"/>
      <c r="O752" s="530"/>
      <c r="P752" s="530"/>
      <c r="Q752" s="530"/>
      <c r="R752" s="530"/>
      <c r="S752" s="530"/>
      <c r="T752" s="530">
        <v>1391</v>
      </c>
      <c r="U752" s="530" t="s">
        <v>58</v>
      </c>
    </row>
    <row r="753" spans="1:21" ht="13.8" x14ac:dyDescent="0.3">
      <c r="A753" s="530" t="str">
        <f t="shared" si="20"/>
        <v>Gwynedd.2016.Accommodation - Bed Spaces.Serviced Accommodation 2</v>
      </c>
      <c r="B753" s="530" t="s">
        <v>219</v>
      </c>
      <c r="C753" s="530" t="str">
        <f t="shared" si="21"/>
        <v>2016.Accommodation - Bed Spaces.Serviced Accommodation 2</v>
      </c>
      <c r="D753" s="530" t="s">
        <v>235</v>
      </c>
      <c r="E753" s="530" t="s">
        <v>164</v>
      </c>
      <c r="F753" s="530" t="s">
        <v>152</v>
      </c>
      <c r="G753" s="530" t="s">
        <v>222</v>
      </c>
      <c r="H753" s="530"/>
      <c r="I753" s="530"/>
      <c r="J753" s="530"/>
      <c r="K753" s="530"/>
      <c r="L753" s="530"/>
      <c r="M753" s="530"/>
      <c r="N753" s="530"/>
      <c r="O753" s="530"/>
      <c r="P753" s="530"/>
      <c r="Q753" s="530"/>
      <c r="R753" s="530"/>
      <c r="S753" s="530"/>
      <c r="T753" s="530">
        <v>2069</v>
      </c>
      <c r="U753" s="530" t="s">
        <v>58</v>
      </c>
    </row>
    <row r="754" spans="1:21" ht="13.8" x14ac:dyDescent="0.3">
      <c r="A754" s="530" t="str">
        <f t="shared" si="20"/>
        <v>Gwynedd.2016.Accommodation - Bed Spaces.Serviced Accommodation 3</v>
      </c>
      <c r="B754" s="530" t="s">
        <v>219</v>
      </c>
      <c r="C754" s="530" t="str">
        <f t="shared" si="21"/>
        <v>2016.Accommodation - Bed Spaces.Serviced Accommodation 3</v>
      </c>
      <c r="D754" s="530" t="s">
        <v>235</v>
      </c>
      <c r="E754" s="530" t="s">
        <v>164</v>
      </c>
      <c r="F754" s="530" t="s">
        <v>153</v>
      </c>
      <c r="G754" s="530" t="s">
        <v>223</v>
      </c>
      <c r="H754" s="530"/>
      <c r="I754" s="530"/>
      <c r="J754" s="530"/>
      <c r="K754" s="530"/>
      <c r="L754" s="530"/>
      <c r="M754" s="530"/>
      <c r="N754" s="530"/>
      <c r="O754" s="530"/>
      <c r="P754" s="530"/>
      <c r="Q754" s="530"/>
      <c r="R754" s="530"/>
      <c r="S754" s="530"/>
      <c r="T754" s="530">
        <v>2725</v>
      </c>
      <c r="U754" s="530" t="s">
        <v>58</v>
      </c>
    </row>
    <row r="755" spans="1:21" ht="13.8" x14ac:dyDescent="0.3">
      <c r="A755" s="530" t="str">
        <f t="shared" si="20"/>
        <v>Gwynedd.2016.Accommodation - Bed Spaces.Serviced Accommodation 4</v>
      </c>
      <c r="B755" s="530" t="s">
        <v>219</v>
      </c>
      <c r="C755" s="530" t="str">
        <f t="shared" si="21"/>
        <v>2016.Accommodation - Bed Spaces.Serviced Accommodation 4</v>
      </c>
      <c r="D755" s="530" t="s">
        <v>235</v>
      </c>
      <c r="E755" s="530" t="s">
        <v>164</v>
      </c>
      <c r="F755" s="530" t="s">
        <v>154</v>
      </c>
      <c r="G755" s="530" t="s">
        <v>224</v>
      </c>
      <c r="H755" s="530"/>
      <c r="I755" s="530"/>
      <c r="J755" s="530"/>
      <c r="K755" s="530"/>
      <c r="L755" s="530"/>
      <c r="M755" s="530"/>
      <c r="N755" s="530"/>
      <c r="O755" s="530"/>
      <c r="P755" s="530"/>
      <c r="Q755" s="530"/>
      <c r="R755" s="530"/>
      <c r="S755" s="530"/>
      <c r="T755" s="530" t="s">
        <v>224</v>
      </c>
      <c r="U755" s="530" t="s">
        <v>58</v>
      </c>
    </row>
    <row r="756" spans="1:21" ht="13.8" x14ac:dyDescent="0.3">
      <c r="A756" s="530" t="str">
        <f t="shared" si="20"/>
        <v>Gwynedd.2016.Accommodation - Bed Spaces.Serviced Accommodation 5</v>
      </c>
      <c r="B756" s="530" t="s">
        <v>219</v>
      </c>
      <c r="C756" s="530" t="str">
        <f t="shared" si="21"/>
        <v>2016.Accommodation - Bed Spaces.Serviced Accommodation 5</v>
      </c>
      <c r="D756" s="530" t="s">
        <v>235</v>
      </c>
      <c r="E756" s="530" t="s">
        <v>164</v>
      </c>
      <c r="F756" s="530" t="s">
        <v>155</v>
      </c>
      <c r="G756" s="530" t="s">
        <v>224</v>
      </c>
      <c r="H756" s="530"/>
      <c r="I756" s="530"/>
      <c r="J756" s="530"/>
      <c r="K756" s="530"/>
      <c r="L756" s="530"/>
      <c r="M756" s="530"/>
      <c r="N756" s="530"/>
      <c r="O756" s="530"/>
      <c r="P756" s="530"/>
      <c r="Q756" s="530"/>
      <c r="R756" s="530"/>
      <c r="S756" s="530"/>
      <c r="T756" s="530" t="s">
        <v>224</v>
      </c>
      <c r="U756" s="530" t="s">
        <v>58</v>
      </c>
    </row>
    <row r="757" spans="1:21" ht="13.8" x14ac:dyDescent="0.3">
      <c r="A757" s="530" t="str">
        <f t="shared" si="20"/>
        <v>Gwynedd.2016.Accommodation - Bed Spaces.Serviced Accommodation Total</v>
      </c>
      <c r="B757" s="530" t="s">
        <v>219</v>
      </c>
      <c r="C757" s="530" t="str">
        <f t="shared" si="21"/>
        <v>2016.Accommodation - Bed Spaces.Serviced Accommodation Total</v>
      </c>
      <c r="D757" s="530" t="s">
        <v>235</v>
      </c>
      <c r="E757" s="530" t="s">
        <v>164</v>
      </c>
      <c r="F757" s="530" t="s">
        <v>161</v>
      </c>
      <c r="G757" s="530" t="s">
        <v>225</v>
      </c>
      <c r="H757" s="530"/>
      <c r="I757" s="530"/>
      <c r="J757" s="530"/>
      <c r="K757" s="530"/>
      <c r="L757" s="530"/>
      <c r="M757" s="530"/>
      <c r="N757" s="530"/>
      <c r="O757" s="530"/>
      <c r="P757" s="530"/>
      <c r="Q757" s="530"/>
      <c r="R757" s="530"/>
      <c r="S757" s="530"/>
      <c r="T757" s="530">
        <v>6185</v>
      </c>
      <c r="U757" s="530" t="s">
        <v>58</v>
      </c>
    </row>
    <row r="758" spans="1:21" ht="13.8" x14ac:dyDescent="0.3">
      <c r="A758" s="530" t="str">
        <f t="shared" si="20"/>
        <v>Gwynedd.2016.Accommodation - Bed Spaces.Non-Serviced Accommodation 1</v>
      </c>
      <c r="B758" s="530" t="s">
        <v>219</v>
      </c>
      <c r="C758" s="530" t="str">
        <f t="shared" si="21"/>
        <v>2016.Accommodation - Bed Spaces.Non-Serviced Accommodation 1</v>
      </c>
      <c r="D758" s="530" t="s">
        <v>235</v>
      </c>
      <c r="E758" s="530" t="s">
        <v>164</v>
      </c>
      <c r="F758" s="530" t="s">
        <v>156</v>
      </c>
      <c r="G758" s="530" t="s">
        <v>226</v>
      </c>
      <c r="H758" s="530"/>
      <c r="I758" s="530"/>
      <c r="J758" s="530"/>
      <c r="K758" s="530"/>
      <c r="L758" s="530"/>
      <c r="M758" s="530"/>
      <c r="N758" s="530"/>
      <c r="O758" s="530"/>
      <c r="P758" s="530"/>
      <c r="Q758" s="530"/>
      <c r="R758" s="530"/>
      <c r="S758" s="530"/>
      <c r="T758" s="530">
        <v>12587</v>
      </c>
      <c r="U758" s="530" t="s">
        <v>58</v>
      </c>
    </row>
    <row r="759" spans="1:21" ht="13.8" x14ac:dyDescent="0.3">
      <c r="A759" s="530" t="str">
        <f t="shared" si="20"/>
        <v>Gwynedd.2016.Accommodation - Bed Spaces.Non-Serviced Accommodation 2</v>
      </c>
      <c r="B759" s="530" t="s">
        <v>219</v>
      </c>
      <c r="C759" s="530" t="str">
        <f t="shared" si="21"/>
        <v>2016.Accommodation - Bed Spaces.Non-Serviced Accommodation 2</v>
      </c>
      <c r="D759" s="530" t="s">
        <v>235</v>
      </c>
      <c r="E759" s="530" t="s">
        <v>164</v>
      </c>
      <c r="F759" s="530" t="s">
        <v>157</v>
      </c>
      <c r="G759" s="530" t="s">
        <v>227</v>
      </c>
      <c r="H759" s="530"/>
      <c r="I759" s="530"/>
      <c r="J759" s="530"/>
      <c r="K759" s="530"/>
      <c r="L759" s="530"/>
      <c r="M759" s="530"/>
      <c r="N759" s="530"/>
      <c r="O759" s="530"/>
      <c r="P759" s="530"/>
      <c r="Q759" s="530"/>
      <c r="R759" s="530"/>
      <c r="S759" s="530"/>
      <c r="T759" s="530">
        <v>8010.8884688090693</v>
      </c>
      <c r="U759" s="530" t="s">
        <v>58</v>
      </c>
    </row>
    <row r="760" spans="1:21" ht="13.8" x14ac:dyDescent="0.3">
      <c r="A760" s="530" t="str">
        <f t="shared" si="20"/>
        <v>Gwynedd.2016.Accommodation - Bed Spaces.Non-Serviced Accommodation 3</v>
      </c>
      <c r="B760" s="530" t="s">
        <v>219</v>
      </c>
      <c r="C760" s="530" t="str">
        <f t="shared" si="21"/>
        <v>2016.Accommodation - Bed Spaces.Non-Serviced Accommodation 3</v>
      </c>
      <c r="D760" s="530" t="s">
        <v>235</v>
      </c>
      <c r="E760" s="530" t="s">
        <v>164</v>
      </c>
      <c r="F760" s="530" t="s">
        <v>158</v>
      </c>
      <c r="G760" s="530" t="s">
        <v>228</v>
      </c>
      <c r="H760" s="530"/>
      <c r="I760" s="530"/>
      <c r="J760" s="530"/>
      <c r="K760" s="530"/>
      <c r="L760" s="530"/>
      <c r="M760" s="530"/>
      <c r="N760" s="530"/>
      <c r="O760" s="530"/>
      <c r="P760" s="530"/>
      <c r="Q760" s="530"/>
      <c r="R760" s="530"/>
      <c r="S760" s="530"/>
      <c r="T760" s="530">
        <v>30360</v>
      </c>
      <c r="U760" s="530" t="s">
        <v>58</v>
      </c>
    </row>
    <row r="761" spans="1:21" ht="13.8" x14ac:dyDescent="0.3">
      <c r="A761" s="530" t="str">
        <f t="shared" si="20"/>
        <v>Gwynedd.2016.Accommodation - Bed Spaces.Non-Serviced Accommodation 4</v>
      </c>
      <c r="B761" s="530" t="s">
        <v>219</v>
      </c>
      <c r="C761" s="530" t="str">
        <f t="shared" si="21"/>
        <v>2016.Accommodation - Bed Spaces.Non-Serviced Accommodation 4</v>
      </c>
      <c r="D761" s="530" t="s">
        <v>235</v>
      </c>
      <c r="E761" s="530" t="s">
        <v>164</v>
      </c>
      <c r="F761" s="530" t="s">
        <v>159</v>
      </c>
      <c r="G761" s="530" t="s">
        <v>229</v>
      </c>
      <c r="H761" s="530"/>
      <c r="I761" s="530"/>
      <c r="J761" s="530"/>
      <c r="K761" s="530"/>
      <c r="L761" s="530"/>
      <c r="M761" s="530"/>
      <c r="N761" s="530"/>
      <c r="O761" s="530"/>
      <c r="P761" s="530"/>
      <c r="Q761" s="530"/>
      <c r="R761" s="530"/>
      <c r="S761" s="530"/>
      <c r="T761" s="530">
        <v>47484.910904595446</v>
      </c>
      <c r="U761" s="530" t="s">
        <v>58</v>
      </c>
    </row>
    <row r="762" spans="1:21" ht="13.8" x14ac:dyDescent="0.3">
      <c r="A762" s="530" t="str">
        <f t="shared" si="20"/>
        <v>Gwynedd.2016.Accommodation - Bed Spaces.Non-Serviced Accommodation 5</v>
      </c>
      <c r="B762" s="530" t="s">
        <v>219</v>
      </c>
      <c r="C762" s="530" t="str">
        <f t="shared" si="21"/>
        <v>2016.Accommodation - Bed Spaces.Non-Serviced Accommodation 5</v>
      </c>
      <c r="D762" s="530" t="s">
        <v>235</v>
      </c>
      <c r="E762" s="530" t="s">
        <v>164</v>
      </c>
      <c r="F762" s="530" t="s">
        <v>160</v>
      </c>
      <c r="G762" s="530" t="s">
        <v>224</v>
      </c>
      <c r="H762" s="530"/>
      <c r="I762" s="530"/>
      <c r="J762" s="530"/>
      <c r="K762" s="530"/>
      <c r="L762" s="530"/>
      <c r="M762" s="530"/>
      <c r="N762" s="530"/>
      <c r="O762" s="530"/>
      <c r="P762" s="530"/>
      <c r="Q762" s="530"/>
      <c r="R762" s="530"/>
      <c r="S762" s="530"/>
      <c r="T762" s="530" t="s">
        <v>224</v>
      </c>
      <c r="U762" s="530" t="s">
        <v>58</v>
      </c>
    </row>
    <row r="763" spans="1:21" ht="13.8" x14ac:dyDescent="0.3">
      <c r="A763" s="530" t="str">
        <f t="shared" si="20"/>
        <v>Gwynedd.2016.Accommodation - Bed Spaces.Non-Serviced Accommodation Total</v>
      </c>
      <c r="B763" s="530" t="s">
        <v>219</v>
      </c>
      <c r="C763" s="530" t="str">
        <f t="shared" si="21"/>
        <v>2016.Accommodation - Bed Spaces.Non-Serviced Accommodation Total</v>
      </c>
      <c r="D763" s="530" t="s">
        <v>235</v>
      </c>
      <c r="E763" s="530" t="s">
        <v>164</v>
      </c>
      <c r="F763" s="530" t="s">
        <v>162</v>
      </c>
      <c r="G763" s="530" t="s">
        <v>230</v>
      </c>
      <c r="H763" s="530"/>
      <c r="I763" s="530"/>
      <c r="J763" s="530"/>
      <c r="K763" s="530"/>
      <c r="L763" s="530"/>
      <c r="M763" s="530"/>
      <c r="N763" s="530"/>
      <c r="O763" s="530"/>
      <c r="P763" s="530"/>
      <c r="Q763" s="530"/>
      <c r="R763" s="530"/>
      <c r="S763" s="530"/>
      <c r="T763" s="530">
        <v>98442.799373404516</v>
      </c>
      <c r="U763" s="530" t="s">
        <v>58</v>
      </c>
    </row>
    <row r="764" spans="1:21" ht="13.8" x14ac:dyDescent="0.3">
      <c r="A764" s="530" t="str">
        <f t="shared" si="20"/>
        <v>Gwynedd.2016.Accommodation - Bed Spaces.All Accommodation Types</v>
      </c>
      <c r="B764" s="530" t="s">
        <v>219</v>
      </c>
      <c r="C764" s="530" t="str">
        <f t="shared" si="21"/>
        <v>2016.Accommodation - Bed Spaces.All Accommodation Types</v>
      </c>
      <c r="D764" s="530" t="s">
        <v>235</v>
      </c>
      <c r="E764" s="530" t="s">
        <v>164</v>
      </c>
      <c r="F764" s="530" t="s">
        <v>163</v>
      </c>
      <c r="G764" s="530" t="s">
        <v>38</v>
      </c>
      <c r="H764" s="530"/>
      <c r="I764" s="530"/>
      <c r="J764" s="530"/>
      <c r="K764" s="530"/>
      <c r="L764" s="530"/>
      <c r="M764" s="530"/>
      <c r="N764" s="530"/>
      <c r="O764" s="530"/>
      <c r="P764" s="530"/>
      <c r="Q764" s="530"/>
      <c r="R764" s="530"/>
      <c r="S764" s="530"/>
      <c r="T764" s="530">
        <v>104627.79937340452</v>
      </c>
      <c r="U764" s="530" t="s">
        <v>58</v>
      </c>
    </row>
    <row r="765" spans="1:21" ht="13.8" x14ac:dyDescent="0.3">
      <c r="A765" s="530" t="str">
        <f t="shared" si="20"/>
        <v>Gwynedd.2017.Accommodation - Establishments.Serviced Accommodation 1</v>
      </c>
      <c r="B765" s="530" t="s">
        <v>219</v>
      </c>
      <c r="C765" s="530" t="str">
        <f t="shared" si="21"/>
        <v>2017.Accommodation - Establishments.Serviced Accommodation 1</v>
      </c>
      <c r="D765" s="530" t="s">
        <v>236</v>
      </c>
      <c r="E765" s="530" t="s">
        <v>150</v>
      </c>
      <c r="F765" s="530" t="s">
        <v>151</v>
      </c>
      <c r="G765" s="530" t="s">
        <v>221</v>
      </c>
      <c r="H765" s="530"/>
      <c r="I765" s="530"/>
      <c r="J765" s="530"/>
      <c r="K765" s="530"/>
      <c r="L765" s="530"/>
      <c r="M765" s="530"/>
      <c r="N765" s="530"/>
      <c r="O765" s="530"/>
      <c r="P765" s="530"/>
      <c r="Q765" s="530"/>
      <c r="R765" s="530"/>
      <c r="S765" s="530"/>
      <c r="T765" s="530">
        <v>7</v>
      </c>
      <c r="U765" s="530" t="s">
        <v>149</v>
      </c>
    </row>
    <row r="766" spans="1:21" ht="13.8" x14ac:dyDescent="0.3">
      <c r="A766" s="530" t="str">
        <f t="shared" si="20"/>
        <v>Gwynedd.2017.Accommodation - Establishments.Serviced Accommodation 2</v>
      </c>
      <c r="B766" s="530" t="s">
        <v>219</v>
      </c>
      <c r="C766" s="530" t="str">
        <f t="shared" si="21"/>
        <v>2017.Accommodation - Establishments.Serviced Accommodation 2</v>
      </c>
      <c r="D766" s="530" t="s">
        <v>236</v>
      </c>
      <c r="E766" s="530" t="s">
        <v>150</v>
      </c>
      <c r="F766" s="530" t="s">
        <v>152</v>
      </c>
      <c r="G766" s="530" t="s">
        <v>222</v>
      </c>
      <c r="H766" s="530"/>
      <c r="I766" s="530"/>
      <c r="J766" s="530"/>
      <c r="K766" s="530"/>
      <c r="L766" s="530"/>
      <c r="M766" s="530"/>
      <c r="N766" s="530"/>
      <c r="O766" s="530"/>
      <c r="P766" s="530"/>
      <c r="Q766" s="530"/>
      <c r="R766" s="530"/>
      <c r="S766" s="530"/>
      <c r="T766" s="530">
        <v>51</v>
      </c>
      <c r="U766" s="530" t="s">
        <v>149</v>
      </c>
    </row>
    <row r="767" spans="1:21" ht="13.8" x14ac:dyDescent="0.3">
      <c r="A767" s="530" t="str">
        <f t="shared" si="20"/>
        <v>Gwynedd.2017.Accommodation - Establishments.Serviced Accommodation 3</v>
      </c>
      <c r="B767" s="530" t="s">
        <v>219</v>
      </c>
      <c r="C767" s="530" t="str">
        <f t="shared" si="21"/>
        <v>2017.Accommodation - Establishments.Serviced Accommodation 3</v>
      </c>
      <c r="D767" s="530" t="s">
        <v>236</v>
      </c>
      <c r="E767" s="530" t="s">
        <v>150</v>
      </c>
      <c r="F767" s="530" t="s">
        <v>153</v>
      </c>
      <c r="G767" s="530" t="s">
        <v>223</v>
      </c>
      <c r="H767" s="530"/>
      <c r="I767" s="530"/>
      <c r="J767" s="530"/>
      <c r="K767" s="530"/>
      <c r="L767" s="530"/>
      <c r="M767" s="530"/>
      <c r="N767" s="530"/>
      <c r="O767" s="530"/>
      <c r="P767" s="530"/>
      <c r="Q767" s="530"/>
      <c r="R767" s="530"/>
      <c r="S767" s="530"/>
      <c r="T767" s="530">
        <v>272</v>
      </c>
      <c r="U767" s="530" t="s">
        <v>149</v>
      </c>
    </row>
    <row r="768" spans="1:21" ht="13.8" x14ac:dyDescent="0.3">
      <c r="A768" s="530" t="str">
        <f t="shared" si="20"/>
        <v>Gwynedd.2017.Accommodation - Establishments.Serviced Accommodation 4</v>
      </c>
      <c r="B768" s="530" t="s">
        <v>219</v>
      </c>
      <c r="C768" s="530" t="str">
        <f t="shared" si="21"/>
        <v>2017.Accommodation - Establishments.Serviced Accommodation 4</v>
      </c>
      <c r="D768" s="530" t="s">
        <v>236</v>
      </c>
      <c r="E768" s="530" t="s">
        <v>150</v>
      </c>
      <c r="F768" s="530" t="s">
        <v>154</v>
      </c>
      <c r="G768" s="530" t="s">
        <v>224</v>
      </c>
      <c r="H768" s="530"/>
      <c r="I768" s="530"/>
      <c r="J768" s="530"/>
      <c r="K768" s="530"/>
      <c r="L768" s="530"/>
      <c r="M768" s="530"/>
      <c r="N768" s="530"/>
      <c r="O768" s="530"/>
      <c r="P768" s="530"/>
      <c r="Q768" s="530"/>
      <c r="R768" s="530"/>
      <c r="S768" s="530"/>
      <c r="T768" s="530" t="s">
        <v>224</v>
      </c>
      <c r="U768" s="530" t="s">
        <v>149</v>
      </c>
    </row>
    <row r="769" spans="1:21" ht="13.8" x14ac:dyDescent="0.3">
      <c r="A769" s="530" t="str">
        <f t="shared" si="20"/>
        <v>Gwynedd.2017.Accommodation - Establishments.Serviced Accommodation 5</v>
      </c>
      <c r="B769" s="530" t="s">
        <v>219</v>
      </c>
      <c r="C769" s="530" t="str">
        <f t="shared" si="21"/>
        <v>2017.Accommodation - Establishments.Serviced Accommodation 5</v>
      </c>
      <c r="D769" s="530" t="s">
        <v>236</v>
      </c>
      <c r="E769" s="530" t="s">
        <v>150</v>
      </c>
      <c r="F769" s="530" t="s">
        <v>155</v>
      </c>
      <c r="G769" s="530" t="s">
        <v>224</v>
      </c>
      <c r="H769" s="530"/>
      <c r="I769" s="530"/>
      <c r="J769" s="530"/>
      <c r="K769" s="530"/>
      <c r="L769" s="530"/>
      <c r="M769" s="530"/>
      <c r="N769" s="530"/>
      <c r="O769" s="530"/>
      <c r="P769" s="530"/>
      <c r="Q769" s="530"/>
      <c r="R769" s="530"/>
      <c r="S769" s="530"/>
      <c r="T769" s="530" t="s">
        <v>224</v>
      </c>
      <c r="U769" s="530" t="s">
        <v>149</v>
      </c>
    </row>
    <row r="770" spans="1:21" ht="15" customHeight="1" x14ac:dyDescent="0.3">
      <c r="A770" s="530" t="str">
        <f t="shared" si="20"/>
        <v>Gwynedd.2017.Accommodation - Establishments.Serviced Accommodation Total</v>
      </c>
      <c r="B770" s="530" t="s">
        <v>219</v>
      </c>
      <c r="C770" s="530" t="str">
        <f t="shared" si="21"/>
        <v>2017.Accommodation - Establishments.Serviced Accommodation Total</v>
      </c>
      <c r="D770" s="530" t="s">
        <v>236</v>
      </c>
      <c r="E770" s="530" t="s">
        <v>150</v>
      </c>
      <c r="F770" s="530" t="s">
        <v>161</v>
      </c>
      <c r="G770" s="530" t="s">
        <v>225</v>
      </c>
      <c r="H770" s="530"/>
      <c r="I770" s="530"/>
      <c r="J770" s="530"/>
      <c r="K770" s="530"/>
      <c r="L770" s="530"/>
      <c r="M770" s="530"/>
      <c r="N770" s="530"/>
      <c r="O770" s="530"/>
      <c r="P770" s="530"/>
      <c r="Q770" s="530"/>
      <c r="R770" s="530"/>
      <c r="S770" s="530"/>
      <c r="T770" s="530">
        <v>330</v>
      </c>
      <c r="U770" s="530" t="s">
        <v>149</v>
      </c>
    </row>
    <row r="771" spans="1:21" ht="15" customHeight="1" x14ac:dyDescent="0.3">
      <c r="A771" s="530" t="str">
        <f t="shared" si="20"/>
        <v>Gwynedd.2017.Accommodation - Establishments.Non-Serviced Accommodation 1</v>
      </c>
      <c r="B771" s="530" t="s">
        <v>219</v>
      </c>
      <c r="C771" s="530" t="str">
        <f t="shared" si="21"/>
        <v>2017.Accommodation - Establishments.Non-Serviced Accommodation 1</v>
      </c>
      <c r="D771" s="530" t="s">
        <v>236</v>
      </c>
      <c r="E771" s="530" t="s">
        <v>150</v>
      </c>
      <c r="F771" s="530" t="s">
        <v>156</v>
      </c>
      <c r="G771" s="530" t="s">
        <v>226</v>
      </c>
      <c r="H771" s="530"/>
      <c r="I771" s="530"/>
      <c r="J771" s="530"/>
      <c r="K771" s="530"/>
      <c r="L771" s="530"/>
      <c r="M771" s="530"/>
      <c r="N771" s="530"/>
      <c r="O771" s="530"/>
      <c r="P771" s="530"/>
      <c r="Q771" s="530"/>
      <c r="R771" s="530"/>
      <c r="S771" s="530"/>
      <c r="T771" s="530">
        <v>1820</v>
      </c>
      <c r="U771" s="530" t="s">
        <v>149</v>
      </c>
    </row>
    <row r="772" spans="1:21" ht="15" customHeight="1" x14ac:dyDescent="0.3">
      <c r="A772" s="530" t="str">
        <f t="shared" si="20"/>
        <v>Gwynedd.2017.Accommodation - Establishments.Non-Serviced Accommodation 2</v>
      </c>
      <c r="B772" s="530" t="s">
        <v>219</v>
      </c>
      <c r="C772" s="530" t="str">
        <f t="shared" si="21"/>
        <v>2017.Accommodation - Establishments.Non-Serviced Accommodation 2</v>
      </c>
      <c r="D772" s="530" t="s">
        <v>236</v>
      </c>
      <c r="E772" s="530" t="s">
        <v>150</v>
      </c>
      <c r="F772" s="530" t="s">
        <v>157</v>
      </c>
      <c r="G772" s="530" t="s">
        <v>227</v>
      </c>
      <c r="H772" s="530"/>
      <c r="I772" s="530"/>
      <c r="J772" s="530"/>
      <c r="K772" s="530"/>
      <c r="L772" s="530"/>
      <c r="M772" s="530"/>
      <c r="N772" s="530"/>
      <c r="O772" s="530"/>
      <c r="P772" s="530"/>
      <c r="Q772" s="530"/>
      <c r="R772" s="530"/>
      <c r="S772" s="530"/>
      <c r="T772" s="530">
        <v>125</v>
      </c>
      <c r="U772" s="530" t="s">
        <v>149</v>
      </c>
    </row>
    <row r="773" spans="1:21" ht="15" customHeight="1" x14ac:dyDescent="0.3">
      <c r="A773" s="530" t="str">
        <f t="shared" si="20"/>
        <v>Gwynedd.2017.Accommodation - Establishments.Non-Serviced Accommodation 3</v>
      </c>
      <c r="B773" s="530" t="s">
        <v>219</v>
      </c>
      <c r="C773" s="530" t="str">
        <f t="shared" si="21"/>
        <v>2017.Accommodation - Establishments.Non-Serviced Accommodation 3</v>
      </c>
      <c r="D773" s="530" t="s">
        <v>236</v>
      </c>
      <c r="E773" s="530" t="s">
        <v>150</v>
      </c>
      <c r="F773" s="530" t="s">
        <v>158</v>
      </c>
      <c r="G773" s="530" t="s">
        <v>228</v>
      </c>
      <c r="H773" s="530"/>
      <c r="I773" s="530"/>
      <c r="J773" s="530"/>
      <c r="K773" s="530"/>
      <c r="L773" s="530"/>
      <c r="M773" s="530"/>
      <c r="N773" s="530"/>
      <c r="O773" s="530"/>
      <c r="P773" s="530"/>
      <c r="Q773" s="530"/>
      <c r="R773" s="530"/>
      <c r="S773" s="530"/>
      <c r="T773" s="530">
        <v>162</v>
      </c>
      <c r="U773" s="530" t="s">
        <v>149</v>
      </c>
    </row>
    <row r="774" spans="1:21" ht="15" customHeight="1" x14ac:dyDescent="0.3">
      <c r="A774" s="530" t="str">
        <f t="shared" si="20"/>
        <v>Gwynedd.2017.Accommodation - Establishments.Non-Serviced Accommodation 4</v>
      </c>
      <c r="B774" s="530" t="s">
        <v>219</v>
      </c>
      <c r="C774" s="530" t="str">
        <f t="shared" si="21"/>
        <v>2017.Accommodation - Establishments.Non-Serviced Accommodation 4</v>
      </c>
      <c r="D774" s="530" t="s">
        <v>236</v>
      </c>
      <c r="E774" s="530" t="s">
        <v>150</v>
      </c>
      <c r="F774" s="530" t="s">
        <v>159</v>
      </c>
      <c r="G774" s="530" t="s">
        <v>229</v>
      </c>
      <c r="H774" s="530"/>
      <c r="I774" s="530"/>
      <c r="J774" s="530"/>
      <c r="K774" s="530"/>
      <c r="L774" s="530"/>
      <c r="M774" s="530"/>
      <c r="N774" s="530"/>
      <c r="O774" s="530"/>
      <c r="P774" s="530"/>
      <c r="Q774" s="530"/>
      <c r="R774" s="530"/>
      <c r="S774" s="530"/>
      <c r="T774" s="530">
        <v>0</v>
      </c>
      <c r="U774" s="530" t="s">
        <v>149</v>
      </c>
    </row>
    <row r="775" spans="1:21" ht="15" customHeight="1" x14ac:dyDescent="0.3">
      <c r="A775" s="530" t="str">
        <f t="shared" si="20"/>
        <v>Gwynedd.2017.Accommodation - Establishments.Non-Serviced Accommodation 5</v>
      </c>
      <c r="B775" s="530" t="s">
        <v>219</v>
      </c>
      <c r="C775" s="530" t="str">
        <f t="shared" si="21"/>
        <v>2017.Accommodation - Establishments.Non-Serviced Accommodation 5</v>
      </c>
      <c r="D775" s="530" t="s">
        <v>236</v>
      </c>
      <c r="E775" s="530" t="s">
        <v>150</v>
      </c>
      <c r="F775" s="530" t="s">
        <v>160</v>
      </c>
      <c r="G775" s="530" t="s">
        <v>237</v>
      </c>
      <c r="H775" s="530"/>
      <c r="I775" s="530"/>
      <c r="J775" s="530"/>
      <c r="K775" s="530"/>
      <c r="L775" s="530"/>
      <c r="M775" s="530"/>
      <c r="N775" s="530"/>
      <c r="O775" s="530"/>
      <c r="P775" s="530"/>
      <c r="Q775" s="530"/>
      <c r="R775" s="530"/>
      <c r="S775" s="530"/>
      <c r="T775" s="530">
        <v>0</v>
      </c>
      <c r="U775" s="530" t="s">
        <v>149</v>
      </c>
    </row>
    <row r="776" spans="1:21" ht="15" customHeight="1" x14ac:dyDescent="0.3">
      <c r="A776" s="530" t="str">
        <f t="shared" si="20"/>
        <v>Gwynedd.2017.Accommodation - Establishments.Non-Serviced Accommodation Total</v>
      </c>
      <c r="B776" s="530" t="s">
        <v>219</v>
      </c>
      <c r="C776" s="530" t="str">
        <f t="shared" si="21"/>
        <v>2017.Accommodation - Establishments.Non-Serviced Accommodation Total</v>
      </c>
      <c r="D776" s="530" t="s">
        <v>236</v>
      </c>
      <c r="E776" s="530" t="s">
        <v>150</v>
      </c>
      <c r="F776" s="530" t="s">
        <v>162</v>
      </c>
      <c r="G776" s="530" t="s">
        <v>230</v>
      </c>
      <c r="H776" s="530"/>
      <c r="I776" s="530"/>
      <c r="J776" s="530"/>
      <c r="K776" s="530"/>
      <c r="L776" s="530"/>
      <c r="M776" s="530"/>
      <c r="N776" s="530"/>
      <c r="O776" s="530"/>
      <c r="P776" s="530"/>
      <c r="Q776" s="530"/>
      <c r="R776" s="530"/>
      <c r="S776" s="530"/>
      <c r="T776" s="530">
        <v>2107</v>
      </c>
      <c r="U776" s="530" t="s">
        <v>149</v>
      </c>
    </row>
    <row r="777" spans="1:21" ht="15" customHeight="1" x14ac:dyDescent="0.3">
      <c r="A777" s="530" t="str">
        <f t="shared" si="20"/>
        <v>Gwynedd.2017.Accommodation - Establishments.All Accommodation Types</v>
      </c>
      <c r="B777" s="530" t="s">
        <v>219</v>
      </c>
      <c r="C777" s="530" t="str">
        <f t="shared" si="21"/>
        <v>2017.Accommodation - Establishments.All Accommodation Types</v>
      </c>
      <c r="D777" s="530" t="s">
        <v>236</v>
      </c>
      <c r="E777" s="530" t="s">
        <v>150</v>
      </c>
      <c r="F777" s="530" t="s">
        <v>163</v>
      </c>
      <c r="G777" s="530" t="s">
        <v>38</v>
      </c>
      <c r="H777" s="530"/>
      <c r="I777" s="530"/>
      <c r="J777" s="530"/>
      <c r="K777" s="530"/>
      <c r="L777" s="530"/>
      <c r="M777" s="530"/>
      <c r="N777" s="530"/>
      <c r="O777" s="530"/>
      <c r="P777" s="530"/>
      <c r="Q777" s="530"/>
      <c r="R777" s="530"/>
      <c r="S777" s="530"/>
      <c r="T777" s="530">
        <v>2437</v>
      </c>
      <c r="U777" s="530" t="s">
        <v>149</v>
      </c>
    </row>
    <row r="778" spans="1:21" ht="13.8" x14ac:dyDescent="0.3">
      <c r="A778" s="530" t="str">
        <f t="shared" si="20"/>
        <v>Gwynedd.2017.Accommodation - Bed Spaces.Serviced Accommodation 1</v>
      </c>
      <c r="B778" s="530" t="s">
        <v>219</v>
      </c>
      <c r="C778" s="530" t="str">
        <f t="shared" si="21"/>
        <v>2017.Accommodation - Bed Spaces.Serviced Accommodation 1</v>
      </c>
      <c r="D778" s="530" t="s">
        <v>236</v>
      </c>
      <c r="E778" s="530" t="s">
        <v>164</v>
      </c>
      <c r="F778" s="530" t="s">
        <v>151</v>
      </c>
      <c r="G778" s="530" t="s">
        <v>221</v>
      </c>
      <c r="H778" s="530"/>
      <c r="I778" s="530"/>
      <c r="J778" s="530"/>
      <c r="K778" s="530"/>
      <c r="L778" s="530"/>
      <c r="M778" s="530"/>
      <c r="N778" s="530"/>
      <c r="O778" s="530"/>
      <c r="P778" s="530"/>
      <c r="Q778" s="530"/>
      <c r="R778" s="530"/>
      <c r="S778" s="530"/>
      <c r="T778" s="530">
        <v>1391</v>
      </c>
      <c r="U778" s="530" t="s">
        <v>58</v>
      </c>
    </row>
    <row r="779" spans="1:21" ht="13.8" x14ac:dyDescent="0.3">
      <c r="A779" s="530" t="str">
        <f t="shared" si="20"/>
        <v>Gwynedd.2017.Accommodation - Bed Spaces.Serviced Accommodation 2</v>
      </c>
      <c r="B779" s="530" t="s">
        <v>219</v>
      </c>
      <c r="C779" s="530" t="str">
        <f t="shared" si="21"/>
        <v>2017.Accommodation - Bed Spaces.Serviced Accommodation 2</v>
      </c>
      <c r="D779" s="530" t="s">
        <v>236</v>
      </c>
      <c r="E779" s="530" t="s">
        <v>164</v>
      </c>
      <c r="F779" s="530" t="s">
        <v>152</v>
      </c>
      <c r="G779" s="530" t="s">
        <v>222</v>
      </c>
      <c r="H779" s="530"/>
      <c r="I779" s="530"/>
      <c r="J779" s="530"/>
      <c r="K779" s="530"/>
      <c r="L779" s="530"/>
      <c r="M779" s="530"/>
      <c r="N779" s="530"/>
      <c r="O779" s="530"/>
      <c r="P779" s="530"/>
      <c r="Q779" s="530"/>
      <c r="R779" s="530"/>
      <c r="S779" s="530"/>
      <c r="T779" s="530">
        <v>2069</v>
      </c>
      <c r="U779" s="530" t="s">
        <v>58</v>
      </c>
    </row>
    <row r="780" spans="1:21" ht="13.8" x14ac:dyDescent="0.3">
      <c r="A780" s="530" t="str">
        <f t="shared" si="20"/>
        <v>Gwynedd.2017.Accommodation - Bed Spaces.Serviced Accommodation 3</v>
      </c>
      <c r="B780" s="530" t="s">
        <v>219</v>
      </c>
      <c r="C780" s="530" t="str">
        <f t="shared" si="21"/>
        <v>2017.Accommodation - Bed Spaces.Serviced Accommodation 3</v>
      </c>
      <c r="D780" s="530" t="s">
        <v>236</v>
      </c>
      <c r="E780" s="530" t="s">
        <v>164</v>
      </c>
      <c r="F780" s="530" t="s">
        <v>153</v>
      </c>
      <c r="G780" s="530" t="s">
        <v>223</v>
      </c>
      <c r="H780" s="530"/>
      <c r="I780" s="530"/>
      <c r="J780" s="530"/>
      <c r="K780" s="530"/>
      <c r="L780" s="530"/>
      <c r="M780" s="530"/>
      <c r="N780" s="530"/>
      <c r="O780" s="530"/>
      <c r="P780" s="530"/>
      <c r="Q780" s="530"/>
      <c r="R780" s="530"/>
      <c r="S780" s="530"/>
      <c r="T780" s="530">
        <v>2725</v>
      </c>
      <c r="U780" s="530" t="s">
        <v>58</v>
      </c>
    </row>
    <row r="781" spans="1:21" ht="13.8" x14ac:dyDescent="0.3">
      <c r="A781" s="530" t="str">
        <f t="shared" si="20"/>
        <v>Gwynedd.2017.Accommodation - Bed Spaces.Serviced Accommodation 4</v>
      </c>
      <c r="B781" s="530" t="s">
        <v>219</v>
      </c>
      <c r="C781" s="530" t="str">
        <f t="shared" si="21"/>
        <v>2017.Accommodation - Bed Spaces.Serviced Accommodation 4</v>
      </c>
      <c r="D781" s="530" t="s">
        <v>236</v>
      </c>
      <c r="E781" s="530" t="s">
        <v>164</v>
      </c>
      <c r="F781" s="530" t="s">
        <v>154</v>
      </c>
      <c r="G781" s="530" t="s">
        <v>224</v>
      </c>
      <c r="H781" s="530"/>
      <c r="I781" s="530"/>
      <c r="J781" s="530"/>
      <c r="K781" s="530"/>
      <c r="L781" s="530"/>
      <c r="M781" s="530"/>
      <c r="N781" s="530"/>
      <c r="O781" s="530"/>
      <c r="P781" s="530"/>
      <c r="Q781" s="530"/>
      <c r="R781" s="530"/>
      <c r="S781" s="530"/>
      <c r="T781" s="530" t="s">
        <v>224</v>
      </c>
      <c r="U781" s="530" t="s">
        <v>58</v>
      </c>
    </row>
    <row r="782" spans="1:21" ht="13.8" x14ac:dyDescent="0.3">
      <c r="A782" s="530" t="str">
        <f t="shared" si="20"/>
        <v>Gwynedd.2017.Accommodation - Bed Spaces.Serviced Accommodation 5</v>
      </c>
      <c r="B782" s="530" t="s">
        <v>219</v>
      </c>
      <c r="C782" s="530" t="str">
        <f t="shared" si="21"/>
        <v>2017.Accommodation - Bed Spaces.Serviced Accommodation 5</v>
      </c>
      <c r="D782" s="530" t="s">
        <v>236</v>
      </c>
      <c r="E782" s="530" t="s">
        <v>164</v>
      </c>
      <c r="F782" s="530" t="s">
        <v>155</v>
      </c>
      <c r="G782" s="530" t="s">
        <v>224</v>
      </c>
      <c r="H782" s="530"/>
      <c r="I782" s="530"/>
      <c r="J782" s="530"/>
      <c r="K782" s="530"/>
      <c r="L782" s="530"/>
      <c r="M782" s="530"/>
      <c r="N782" s="530"/>
      <c r="O782" s="530"/>
      <c r="P782" s="530"/>
      <c r="Q782" s="530"/>
      <c r="R782" s="530"/>
      <c r="S782" s="530"/>
      <c r="T782" s="530" t="s">
        <v>224</v>
      </c>
      <c r="U782" s="530" t="s">
        <v>58</v>
      </c>
    </row>
    <row r="783" spans="1:21" ht="13.8" x14ac:dyDescent="0.3">
      <c r="A783" s="530" t="str">
        <f t="shared" si="20"/>
        <v>Gwynedd.2017.Accommodation - Bed Spaces.Serviced Accommodation Total</v>
      </c>
      <c r="B783" s="530" t="s">
        <v>219</v>
      </c>
      <c r="C783" s="530" t="str">
        <f t="shared" si="21"/>
        <v>2017.Accommodation - Bed Spaces.Serviced Accommodation Total</v>
      </c>
      <c r="D783" s="530" t="s">
        <v>236</v>
      </c>
      <c r="E783" s="530" t="s">
        <v>164</v>
      </c>
      <c r="F783" s="530" t="s">
        <v>161</v>
      </c>
      <c r="G783" s="530" t="s">
        <v>225</v>
      </c>
      <c r="H783" s="530"/>
      <c r="I783" s="530"/>
      <c r="J783" s="530"/>
      <c r="K783" s="530"/>
      <c r="L783" s="530"/>
      <c r="M783" s="530"/>
      <c r="N783" s="530"/>
      <c r="O783" s="530"/>
      <c r="P783" s="530"/>
      <c r="Q783" s="530"/>
      <c r="R783" s="530"/>
      <c r="S783" s="530"/>
      <c r="T783" s="530">
        <v>6185</v>
      </c>
      <c r="U783" s="530" t="s">
        <v>58</v>
      </c>
    </row>
    <row r="784" spans="1:21" ht="13.8" x14ac:dyDescent="0.3">
      <c r="A784" s="530" t="str">
        <f t="shared" si="20"/>
        <v>Gwynedd.2017.Accommodation - Bed Spaces.Non-Serviced Accommodation 1</v>
      </c>
      <c r="B784" s="530" t="s">
        <v>219</v>
      </c>
      <c r="C784" s="530" t="str">
        <f t="shared" si="21"/>
        <v>2017.Accommodation - Bed Spaces.Non-Serviced Accommodation 1</v>
      </c>
      <c r="D784" s="530" t="s">
        <v>236</v>
      </c>
      <c r="E784" s="530" t="s">
        <v>164</v>
      </c>
      <c r="F784" s="530" t="s">
        <v>156</v>
      </c>
      <c r="G784" s="530" t="s">
        <v>226</v>
      </c>
      <c r="H784" s="530"/>
      <c r="I784" s="530"/>
      <c r="J784" s="530"/>
      <c r="K784" s="530"/>
      <c r="L784" s="530"/>
      <c r="M784" s="530"/>
      <c r="N784" s="530"/>
      <c r="O784" s="530"/>
      <c r="P784" s="530"/>
      <c r="Q784" s="530"/>
      <c r="R784" s="530"/>
      <c r="S784" s="530"/>
      <c r="T784" s="530">
        <v>12587</v>
      </c>
      <c r="U784" s="530" t="s">
        <v>58</v>
      </c>
    </row>
    <row r="785" spans="1:21" ht="13.8" x14ac:dyDescent="0.3">
      <c r="A785" s="530" t="str">
        <f t="shared" si="20"/>
        <v>Gwynedd.2017.Accommodation - Bed Spaces.Non-Serviced Accommodation 2</v>
      </c>
      <c r="B785" s="530" t="s">
        <v>219</v>
      </c>
      <c r="C785" s="530" t="str">
        <f t="shared" si="21"/>
        <v>2017.Accommodation - Bed Spaces.Non-Serviced Accommodation 2</v>
      </c>
      <c r="D785" s="530" t="s">
        <v>236</v>
      </c>
      <c r="E785" s="530" t="s">
        <v>164</v>
      </c>
      <c r="F785" s="530" t="s">
        <v>157</v>
      </c>
      <c r="G785" s="530" t="s">
        <v>227</v>
      </c>
      <c r="H785" s="530"/>
      <c r="I785" s="530"/>
      <c r="J785" s="530"/>
      <c r="K785" s="530"/>
      <c r="L785" s="530"/>
      <c r="M785" s="530"/>
      <c r="N785" s="530"/>
      <c r="O785" s="530"/>
      <c r="P785" s="530"/>
      <c r="Q785" s="530"/>
      <c r="R785" s="530"/>
      <c r="S785" s="530"/>
      <c r="T785" s="530">
        <v>8010.8884688090693</v>
      </c>
      <c r="U785" s="530" t="s">
        <v>58</v>
      </c>
    </row>
    <row r="786" spans="1:21" ht="13.8" x14ac:dyDescent="0.3">
      <c r="A786" s="530" t="str">
        <f t="shared" si="20"/>
        <v>Gwynedd.2017.Accommodation - Bed Spaces.Non-Serviced Accommodation 3</v>
      </c>
      <c r="B786" s="530" t="s">
        <v>219</v>
      </c>
      <c r="C786" s="530" t="str">
        <f t="shared" si="21"/>
        <v>2017.Accommodation - Bed Spaces.Non-Serviced Accommodation 3</v>
      </c>
      <c r="D786" s="530" t="s">
        <v>236</v>
      </c>
      <c r="E786" s="530" t="s">
        <v>164</v>
      </c>
      <c r="F786" s="530" t="s">
        <v>158</v>
      </c>
      <c r="G786" s="530" t="s">
        <v>228</v>
      </c>
      <c r="H786" s="530"/>
      <c r="I786" s="530"/>
      <c r="J786" s="530"/>
      <c r="K786" s="530"/>
      <c r="L786" s="530"/>
      <c r="M786" s="530"/>
      <c r="N786" s="530"/>
      <c r="O786" s="530"/>
      <c r="P786" s="530"/>
      <c r="Q786" s="530"/>
      <c r="R786" s="530"/>
      <c r="S786" s="530"/>
      <c r="T786" s="530">
        <v>30360</v>
      </c>
      <c r="U786" s="530" t="s">
        <v>58</v>
      </c>
    </row>
    <row r="787" spans="1:21" ht="13.8" x14ac:dyDescent="0.3">
      <c r="A787" s="530" t="str">
        <f t="shared" si="20"/>
        <v>Gwynedd.2017.Accommodation - Bed Spaces.Non-Serviced Accommodation 4</v>
      </c>
      <c r="B787" s="530" t="s">
        <v>219</v>
      </c>
      <c r="C787" s="530" t="str">
        <f t="shared" si="21"/>
        <v>2017.Accommodation - Bed Spaces.Non-Serviced Accommodation 4</v>
      </c>
      <c r="D787" s="530" t="s">
        <v>236</v>
      </c>
      <c r="E787" s="530" t="s">
        <v>164</v>
      </c>
      <c r="F787" s="530" t="s">
        <v>159</v>
      </c>
      <c r="G787" s="530" t="s">
        <v>229</v>
      </c>
      <c r="H787" s="530"/>
      <c r="I787" s="530"/>
      <c r="J787" s="530"/>
      <c r="K787" s="530"/>
      <c r="L787" s="530"/>
      <c r="M787" s="530"/>
      <c r="N787" s="530"/>
      <c r="O787" s="530"/>
      <c r="P787" s="530"/>
      <c r="Q787" s="530"/>
      <c r="R787" s="530"/>
      <c r="S787" s="530"/>
      <c r="T787" s="530">
        <v>47484.910904595446</v>
      </c>
      <c r="U787" s="530" t="s">
        <v>58</v>
      </c>
    </row>
    <row r="788" spans="1:21" ht="13.8" x14ac:dyDescent="0.3">
      <c r="A788" s="530" t="str">
        <f t="shared" si="20"/>
        <v>Gwynedd.2017.Accommodation - Bed Spaces.Non-Serviced Accommodation 5</v>
      </c>
      <c r="B788" s="530" t="s">
        <v>219</v>
      </c>
      <c r="C788" s="530" t="str">
        <f t="shared" si="21"/>
        <v>2017.Accommodation - Bed Spaces.Non-Serviced Accommodation 5</v>
      </c>
      <c r="D788" s="530" t="s">
        <v>236</v>
      </c>
      <c r="E788" s="530" t="s">
        <v>164</v>
      </c>
      <c r="F788" s="530" t="s">
        <v>160</v>
      </c>
      <c r="G788" s="530" t="s">
        <v>237</v>
      </c>
      <c r="H788" s="530"/>
      <c r="I788" s="530"/>
      <c r="J788" s="530"/>
      <c r="K788" s="530"/>
      <c r="L788" s="530"/>
      <c r="M788" s="530"/>
      <c r="N788" s="530"/>
      <c r="O788" s="530"/>
      <c r="P788" s="530"/>
      <c r="Q788" s="530"/>
      <c r="R788" s="530"/>
      <c r="S788" s="530"/>
      <c r="T788" s="530">
        <v>3341.7853247865532</v>
      </c>
      <c r="U788" s="530" t="s">
        <v>58</v>
      </c>
    </row>
    <row r="789" spans="1:21" ht="13.8" x14ac:dyDescent="0.3">
      <c r="A789" s="530" t="str">
        <f t="shared" si="20"/>
        <v>Gwynedd.2017.Accommodation - Bed Spaces.Non-Serviced Accommodation Total</v>
      </c>
      <c r="B789" s="530" t="s">
        <v>219</v>
      </c>
      <c r="C789" s="530" t="str">
        <f t="shared" si="21"/>
        <v>2017.Accommodation - Bed Spaces.Non-Serviced Accommodation Total</v>
      </c>
      <c r="D789" s="530" t="s">
        <v>236</v>
      </c>
      <c r="E789" s="530" t="s">
        <v>164</v>
      </c>
      <c r="F789" s="530" t="s">
        <v>162</v>
      </c>
      <c r="G789" s="530" t="s">
        <v>230</v>
      </c>
      <c r="H789" s="530"/>
      <c r="I789" s="530"/>
      <c r="J789" s="530"/>
      <c r="K789" s="530"/>
      <c r="L789" s="530"/>
      <c r="M789" s="530"/>
      <c r="N789" s="530"/>
      <c r="O789" s="530"/>
      <c r="P789" s="530"/>
      <c r="Q789" s="530"/>
      <c r="R789" s="530"/>
      <c r="S789" s="530"/>
      <c r="T789" s="530">
        <v>101784.58469819107</v>
      </c>
      <c r="U789" s="530" t="s">
        <v>58</v>
      </c>
    </row>
    <row r="790" spans="1:21" ht="13.8" x14ac:dyDescent="0.3">
      <c r="A790" s="530" t="str">
        <f t="shared" si="20"/>
        <v>Gwynedd.2017.Accommodation - Bed Spaces.All Accommodation Types</v>
      </c>
      <c r="B790" s="530" t="s">
        <v>219</v>
      </c>
      <c r="C790" s="530" t="str">
        <f t="shared" si="21"/>
        <v>2017.Accommodation - Bed Spaces.All Accommodation Types</v>
      </c>
      <c r="D790" s="530" t="s">
        <v>236</v>
      </c>
      <c r="E790" s="530" t="s">
        <v>164</v>
      </c>
      <c r="F790" s="530" t="s">
        <v>163</v>
      </c>
      <c r="G790" s="530" t="s">
        <v>38</v>
      </c>
      <c r="H790" s="530"/>
      <c r="I790" s="530"/>
      <c r="J790" s="530"/>
      <c r="K790" s="530"/>
      <c r="L790" s="530"/>
      <c r="M790" s="530"/>
      <c r="N790" s="530"/>
      <c r="O790" s="530"/>
      <c r="P790" s="530"/>
      <c r="Q790" s="530"/>
      <c r="R790" s="530"/>
      <c r="S790" s="530"/>
      <c r="T790" s="530">
        <v>107969.58469819107</v>
      </c>
      <c r="U790" s="530" t="s">
        <v>58</v>
      </c>
    </row>
    <row r="791" spans="1:21" ht="13.8" x14ac:dyDescent="0.3">
      <c r="A791" s="530" t="str">
        <f t="shared" si="20"/>
        <v>Gwynedd.2018.Accommodation - Establishments.Serviced Accommodation 1</v>
      </c>
      <c r="B791" s="530" t="s">
        <v>219</v>
      </c>
      <c r="C791" s="530" t="str">
        <f t="shared" si="21"/>
        <v>2018.Accommodation - Establishments.Serviced Accommodation 1</v>
      </c>
      <c r="D791" s="530" t="s">
        <v>238</v>
      </c>
      <c r="E791" s="530" t="s">
        <v>150</v>
      </c>
      <c r="F791" s="530" t="s">
        <v>151</v>
      </c>
      <c r="G791" s="530" t="s">
        <v>221</v>
      </c>
      <c r="H791" s="530"/>
      <c r="I791" s="530"/>
      <c r="J791" s="530"/>
      <c r="K791" s="530"/>
      <c r="L791" s="530"/>
      <c r="M791" s="530"/>
      <c r="N791" s="530"/>
      <c r="O791" s="530"/>
      <c r="P791" s="530"/>
      <c r="Q791" s="530"/>
      <c r="R791" s="530"/>
      <c r="S791" s="530"/>
      <c r="T791" s="530">
        <v>12</v>
      </c>
      <c r="U791" s="530" t="s">
        <v>149</v>
      </c>
    </row>
    <row r="792" spans="1:21" ht="13.8" x14ac:dyDescent="0.3">
      <c r="A792" s="530" t="str">
        <f t="shared" si="20"/>
        <v>Gwynedd.2018.Accommodation - Establishments.Serviced Accommodation 2</v>
      </c>
      <c r="B792" s="530" t="s">
        <v>219</v>
      </c>
      <c r="C792" s="530" t="str">
        <f t="shared" si="21"/>
        <v>2018.Accommodation - Establishments.Serviced Accommodation 2</v>
      </c>
      <c r="D792" s="530" t="s">
        <v>238</v>
      </c>
      <c r="E792" s="530" t="s">
        <v>150</v>
      </c>
      <c r="F792" s="530" t="s">
        <v>152</v>
      </c>
      <c r="G792" s="530" t="s">
        <v>222</v>
      </c>
      <c r="H792" s="530"/>
      <c r="I792" s="530"/>
      <c r="J792" s="530"/>
      <c r="K792" s="530"/>
      <c r="L792" s="530"/>
      <c r="M792" s="530"/>
      <c r="N792" s="530"/>
      <c r="O792" s="530"/>
      <c r="P792" s="530"/>
      <c r="Q792" s="530"/>
      <c r="R792" s="530"/>
      <c r="S792" s="530"/>
      <c r="T792" s="530">
        <v>48</v>
      </c>
      <c r="U792" s="530" t="s">
        <v>149</v>
      </c>
    </row>
    <row r="793" spans="1:21" ht="13.8" x14ac:dyDescent="0.3">
      <c r="A793" s="530" t="str">
        <f t="shared" si="20"/>
        <v>Gwynedd.2018.Accommodation - Establishments.Serviced Accommodation 3</v>
      </c>
      <c r="B793" s="530" t="s">
        <v>219</v>
      </c>
      <c r="C793" s="530" t="str">
        <f t="shared" si="21"/>
        <v>2018.Accommodation - Establishments.Serviced Accommodation 3</v>
      </c>
      <c r="D793" s="530" t="s">
        <v>238</v>
      </c>
      <c r="E793" s="530" t="s">
        <v>150</v>
      </c>
      <c r="F793" s="530" t="s">
        <v>153</v>
      </c>
      <c r="G793" s="530" t="s">
        <v>223</v>
      </c>
      <c r="H793" s="530"/>
      <c r="I793" s="530"/>
      <c r="J793" s="530"/>
      <c r="K793" s="530"/>
      <c r="L793" s="530"/>
      <c r="M793" s="530"/>
      <c r="N793" s="530"/>
      <c r="O793" s="530"/>
      <c r="P793" s="530"/>
      <c r="Q793" s="530"/>
      <c r="R793" s="530"/>
      <c r="S793" s="530"/>
      <c r="T793" s="530">
        <v>285</v>
      </c>
      <c r="U793" s="530" t="s">
        <v>149</v>
      </c>
    </row>
    <row r="794" spans="1:21" ht="13.8" x14ac:dyDescent="0.3">
      <c r="A794" s="530" t="str">
        <f t="shared" si="20"/>
        <v>Gwynedd.2018.Accommodation - Establishments.Serviced Accommodation 4</v>
      </c>
      <c r="B794" s="530" t="s">
        <v>219</v>
      </c>
      <c r="C794" s="530" t="str">
        <f t="shared" si="21"/>
        <v>2018.Accommodation - Establishments.Serviced Accommodation 4</v>
      </c>
      <c r="D794" s="530" t="s">
        <v>238</v>
      </c>
      <c r="E794" s="530" t="s">
        <v>150</v>
      </c>
      <c r="F794" s="530" t="s">
        <v>154</v>
      </c>
      <c r="G794" s="530" t="s">
        <v>224</v>
      </c>
      <c r="H794" s="530"/>
      <c r="I794" s="530"/>
      <c r="J794" s="530"/>
      <c r="K794" s="530"/>
      <c r="L794" s="530"/>
      <c r="M794" s="530"/>
      <c r="N794" s="530"/>
      <c r="O794" s="530"/>
      <c r="P794" s="530"/>
      <c r="Q794" s="530"/>
      <c r="R794" s="530"/>
      <c r="S794" s="530"/>
      <c r="T794" s="530" t="s">
        <v>224</v>
      </c>
      <c r="U794" s="530" t="s">
        <v>149</v>
      </c>
    </row>
    <row r="795" spans="1:21" ht="13.8" x14ac:dyDescent="0.3">
      <c r="A795" s="530" t="str">
        <f t="shared" si="20"/>
        <v>Gwynedd.2018.Accommodation - Establishments.Serviced Accommodation 5</v>
      </c>
      <c r="B795" s="530" t="s">
        <v>219</v>
      </c>
      <c r="C795" s="530" t="str">
        <f t="shared" si="21"/>
        <v>2018.Accommodation - Establishments.Serviced Accommodation 5</v>
      </c>
      <c r="D795" s="530" t="s">
        <v>238</v>
      </c>
      <c r="E795" s="530" t="s">
        <v>150</v>
      </c>
      <c r="F795" s="530" t="s">
        <v>155</v>
      </c>
      <c r="G795" s="530" t="s">
        <v>224</v>
      </c>
      <c r="H795" s="530"/>
      <c r="I795" s="530"/>
      <c r="J795" s="530"/>
      <c r="K795" s="530"/>
      <c r="L795" s="530"/>
      <c r="M795" s="530"/>
      <c r="N795" s="530"/>
      <c r="O795" s="530"/>
      <c r="P795" s="530"/>
      <c r="Q795" s="530"/>
      <c r="R795" s="530"/>
      <c r="S795" s="530"/>
      <c r="T795" s="530" t="s">
        <v>224</v>
      </c>
      <c r="U795" s="530" t="s">
        <v>149</v>
      </c>
    </row>
    <row r="796" spans="1:21" ht="15" customHeight="1" x14ac:dyDescent="0.3">
      <c r="A796" s="530" t="str">
        <f t="shared" si="20"/>
        <v>Gwynedd.2018.Accommodation - Establishments.Serviced Accommodation Total</v>
      </c>
      <c r="B796" s="530" t="s">
        <v>219</v>
      </c>
      <c r="C796" s="530" t="str">
        <f t="shared" si="21"/>
        <v>2018.Accommodation - Establishments.Serviced Accommodation Total</v>
      </c>
      <c r="D796" s="530" t="s">
        <v>238</v>
      </c>
      <c r="E796" s="530" t="s">
        <v>150</v>
      </c>
      <c r="F796" s="530" t="s">
        <v>161</v>
      </c>
      <c r="G796" s="530" t="s">
        <v>225</v>
      </c>
      <c r="H796" s="530"/>
      <c r="I796" s="530"/>
      <c r="J796" s="530"/>
      <c r="K796" s="530"/>
      <c r="L796" s="530"/>
      <c r="M796" s="530"/>
      <c r="N796" s="530"/>
      <c r="O796" s="530"/>
      <c r="P796" s="530"/>
      <c r="Q796" s="530"/>
      <c r="R796" s="530"/>
      <c r="S796" s="530"/>
      <c r="T796" s="530">
        <v>345</v>
      </c>
      <c r="U796" s="530" t="s">
        <v>149</v>
      </c>
    </row>
    <row r="797" spans="1:21" ht="15" customHeight="1" x14ac:dyDescent="0.3">
      <c r="A797" s="530" t="str">
        <f t="shared" si="20"/>
        <v>Gwynedd.2018.Accommodation - Establishments.Non-Serviced Accommodation 1</v>
      </c>
      <c r="B797" s="530" t="s">
        <v>219</v>
      </c>
      <c r="C797" s="530" t="str">
        <f t="shared" si="21"/>
        <v>2018.Accommodation - Establishments.Non-Serviced Accommodation 1</v>
      </c>
      <c r="D797" s="530" t="s">
        <v>238</v>
      </c>
      <c r="E797" s="530" t="s">
        <v>150</v>
      </c>
      <c r="F797" s="530" t="s">
        <v>156</v>
      </c>
      <c r="G797" s="530" t="s">
        <v>226</v>
      </c>
      <c r="H797" s="530"/>
      <c r="I797" s="530"/>
      <c r="J797" s="530"/>
      <c r="K797" s="530"/>
      <c r="L797" s="530"/>
      <c r="M797" s="530"/>
      <c r="N797" s="530"/>
      <c r="O797" s="530"/>
      <c r="P797" s="530"/>
      <c r="Q797" s="530"/>
      <c r="R797" s="530"/>
      <c r="S797" s="530"/>
      <c r="T797" s="530">
        <v>2477</v>
      </c>
      <c r="U797" s="530" t="s">
        <v>149</v>
      </c>
    </row>
    <row r="798" spans="1:21" ht="15" customHeight="1" x14ac:dyDescent="0.3">
      <c r="A798" s="530" t="str">
        <f t="shared" si="20"/>
        <v>Gwynedd.2018.Accommodation - Establishments.Non-Serviced Accommodation 2</v>
      </c>
      <c r="B798" s="530" t="s">
        <v>219</v>
      </c>
      <c r="C798" s="530" t="str">
        <f t="shared" si="21"/>
        <v>2018.Accommodation - Establishments.Non-Serviced Accommodation 2</v>
      </c>
      <c r="D798" s="530" t="s">
        <v>238</v>
      </c>
      <c r="E798" s="530" t="s">
        <v>150</v>
      </c>
      <c r="F798" s="530" t="s">
        <v>157</v>
      </c>
      <c r="G798" s="530" t="s">
        <v>227</v>
      </c>
      <c r="H798" s="530"/>
      <c r="I798" s="530"/>
      <c r="J798" s="530"/>
      <c r="K798" s="530"/>
      <c r="L798" s="530"/>
      <c r="M798" s="530"/>
      <c r="N798" s="530"/>
      <c r="O798" s="530"/>
      <c r="P798" s="530"/>
      <c r="Q798" s="530"/>
      <c r="R798" s="530"/>
      <c r="S798" s="530"/>
      <c r="T798" s="530">
        <v>133</v>
      </c>
      <c r="U798" s="530" t="s">
        <v>149</v>
      </c>
    </row>
    <row r="799" spans="1:21" ht="15" customHeight="1" x14ac:dyDescent="0.3">
      <c r="A799" s="530" t="str">
        <f t="shared" si="20"/>
        <v>Gwynedd.2018.Accommodation - Establishments.Non-Serviced Accommodation 3</v>
      </c>
      <c r="B799" s="530" t="s">
        <v>219</v>
      </c>
      <c r="C799" s="530" t="str">
        <f t="shared" si="21"/>
        <v>2018.Accommodation - Establishments.Non-Serviced Accommodation 3</v>
      </c>
      <c r="D799" s="530" t="s">
        <v>238</v>
      </c>
      <c r="E799" s="530" t="s">
        <v>150</v>
      </c>
      <c r="F799" s="530" t="s">
        <v>158</v>
      </c>
      <c r="G799" s="530" t="s">
        <v>228</v>
      </c>
      <c r="H799" s="530"/>
      <c r="I799" s="530"/>
      <c r="J799" s="530"/>
      <c r="K799" s="530"/>
      <c r="L799" s="530"/>
      <c r="M799" s="530"/>
      <c r="N799" s="530"/>
      <c r="O799" s="530"/>
      <c r="P799" s="530"/>
      <c r="Q799" s="530"/>
      <c r="R799" s="530"/>
      <c r="S799" s="530"/>
      <c r="T799" s="530">
        <v>220</v>
      </c>
      <c r="U799" s="530" t="s">
        <v>149</v>
      </c>
    </row>
    <row r="800" spans="1:21" ht="15" customHeight="1" x14ac:dyDescent="0.3">
      <c r="A800" s="530" t="str">
        <f t="shared" si="20"/>
        <v>Gwynedd.2018.Accommodation - Establishments.Non-Serviced Accommodation 4</v>
      </c>
      <c r="B800" s="530" t="s">
        <v>219</v>
      </c>
      <c r="C800" s="530" t="str">
        <f t="shared" si="21"/>
        <v>2018.Accommodation - Establishments.Non-Serviced Accommodation 4</v>
      </c>
      <c r="D800" s="530" t="s">
        <v>238</v>
      </c>
      <c r="E800" s="530" t="s">
        <v>150</v>
      </c>
      <c r="F800" s="530" t="s">
        <v>159</v>
      </c>
      <c r="G800" s="530" t="s">
        <v>229</v>
      </c>
      <c r="H800" s="530"/>
      <c r="I800" s="530"/>
      <c r="J800" s="530"/>
      <c r="K800" s="530"/>
      <c r="L800" s="530"/>
      <c r="M800" s="530"/>
      <c r="N800" s="530"/>
      <c r="O800" s="530"/>
      <c r="P800" s="530"/>
      <c r="Q800" s="530"/>
      <c r="R800" s="530"/>
      <c r="S800" s="530"/>
      <c r="T800" s="530">
        <v>0</v>
      </c>
      <c r="U800" s="530" t="s">
        <v>149</v>
      </c>
    </row>
    <row r="801" spans="1:21" ht="15" customHeight="1" x14ac:dyDescent="0.3">
      <c r="A801" s="530" t="str">
        <f t="shared" si="20"/>
        <v>Gwynedd.2018.Accommodation - Establishments.Non-Serviced Accommodation 5</v>
      </c>
      <c r="B801" s="530" t="s">
        <v>219</v>
      </c>
      <c r="C801" s="530" t="str">
        <f t="shared" si="21"/>
        <v>2018.Accommodation - Establishments.Non-Serviced Accommodation 5</v>
      </c>
      <c r="D801" s="530" t="s">
        <v>238</v>
      </c>
      <c r="E801" s="530" t="s">
        <v>150</v>
      </c>
      <c r="F801" s="530" t="s">
        <v>160</v>
      </c>
      <c r="G801" s="530" t="s">
        <v>237</v>
      </c>
      <c r="H801" s="530"/>
      <c r="I801" s="530"/>
      <c r="J801" s="530"/>
      <c r="K801" s="530"/>
      <c r="L801" s="530"/>
      <c r="M801" s="530"/>
      <c r="N801" s="530"/>
      <c r="O801" s="530"/>
      <c r="P801" s="530"/>
      <c r="Q801" s="530"/>
      <c r="R801" s="530"/>
      <c r="S801" s="530"/>
      <c r="T801" s="530">
        <v>0</v>
      </c>
      <c r="U801" s="530" t="s">
        <v>149</v>
      </c>
    </row>
    <row r="802" spans="1:21" ht="15" customHeight="1" x14ac:dyDescent="0.3">
      <c r="A802" s="530" t="str">
        <f t="shared" si="20"/>
        <v>Gwynedd.2018.Accommodation - Establishments.Non-Serviced Accommodation Total</v>
      </c>
      <c r="B802" s="530" t="s">
        <v>219</v>
      </c>
      <c r="C802" s="530" t="str">
        <f t="shared" si="21"/>
        <v>2018.Accommodation - Establishments.Non-Serviced Accommodation Total</v>
      </c>
      <c r="D802" s="530" t="s">
        <v>238</v>
      </c>
      <c r="E802" s="530" t="s">
        <v>150</v>
      </c>
      <c r="F802" s="530" t="s">
        <v>162</v>
      </c>
      <c r="G802" s="530" t="s">
        <v>230</v>
      </c>
      <c r="H802" s="530"/>
      <c r="I802" s="530"/>
      <c r="J802" s="530"/>
      <c r="K802" s="530"/>
      <c r="L802" s="530"/>
      <c r="M802" s="530"/>
      <c r="N802" s="530"/>
      <c r="O802" s="530"/>
      <c r="P802" s="530"/>
      <c r="Q802" s="530"/>
      <c r="R802" s="530"/>
      <c r="S802" s="530"/>
      <c r="T802" s="530">
        <v>2830</v>
      </c>
      <c r="U802" s="530" t="s">
        <v>149</v>
      </c>
    </row>
    <row r="803" spans="1:21" ht="15" customHeight="1" x14ac:dyDescent="0.3">
      <c r="A803" s="530" t="str">
        <f t="shared" si="20"/>
        <v>Gwynedd.2018.Accommodation - Establishments.All Accommodation Types</v>
      </c>
      <c r="B803" s="530" t="s">
        <v>219</v>
      </c>
      <c r="C803" s="530" t="str">
        <f t="shared" si="21"/>
        <v>2018.Accommodation - Establishments.All Accommodation Types</v>
      </c>
      <c r="D803" s="530" t="s">
        <v>238</v>
      </c>
      <c r="E803" s="530" t="s">
        <v>150</v>
      </c>
      <c r="F803" s="530" t="s">
        <v>163</v>
      </c>
      <c r="G803" s="530" t="s">
        <v>38</v>
      </c>
      <c r="H803" s="530"/>
      <c r="I803" s="530"/>
      <c r="J803" s="530"/>
      <c r="K803" s="530"/>
      <c r="L803" s="530"/>
      <c r="M803" s="530"/>
      <c r="N803" s="530"/>
      <c r="O803" s="530"/>
      <c r="P803" s="530"/>
      <c r="Q803" s="530"/>
      <c r="R803" s="530"/>
      <c r="S803" s="530"/>
      <c r="T803" s="530">
        <v>3175</v>
      </c>
      <c r="U803" s="530" t="s">
        <v>149</v>
      </c>
    </row>
    <row r="804" spans="1:21" ht="13.8" x14ac:dyDescent="0.3">
      <c r="A804" s="530" t="str">
        <f t="shared" si="20"/>
        <v>Gwynedd.2018.Accommodation - Bed Spaces.Serviced Accommodation 1</v>
      </c>
      <c r="B804" s="530" t="s">
        <v>219</v>
      </c>
      <c r="C804" s="530" t="str">
        <f t="shared" si="21"/>
        <v>2018.Accommodation - Bed Spaces.Serviced Accommodation 1</v>
      </c>
      <c r="D804" s="530" t="s">
        <v>238</v>
      </c>
      <c r="E804" s="530" t="s">
        <v>164</v>
      </c>
      <c r="F804" s="530" t="s">
        <v>151</v>
      </c>
      <c r="G804" s="530" t="s">
        <v>221</v>
      </c>
      <c r="H804" s="530"/>
      <c r="I804" s="530"/>
      <c r="J804" s="530"/>
      <c r="K804" s="530"/>
      <c r="L804" s="530"/>
      <c r="M804" s="530"/>
      <c r="N804" s="530"/>
      <c r="O804" s="530"/>
      <c r="P804" s="530"/>
      <c r="Q804" s="530"/>
      <c r="R804" s="530"/>
      <c r="S804" s="530"/>
      <c r="T804" s="530">
        <v>1823</v>
      </c>
      <c r="U804" s="530" t="s">
        <v>58</v>
      </c>
    </row>
    <row r="805" spans="1:21" ht="13.8" x14ac:dyDescent="0.3">
      <c r="A805" s="530" t="str">
        <f t="shared" si="20"/>
        <v>Gwynedd.2018.Accommodation - Bed Spaces.Serviced Accommodation 2</v>
      </c>
      <c r="B805" s="530" t="s">
        <v>219</v>
      </c>
      <c r="C805" s="530" t="str">
        <f t="shared" si="21"/>
        <v>2018.Accommodation - Bed Spaces.Serviced Accommodation 2</v>
      </c>
      <c r="D805" s="530" t="s">
        <v>238</v>
      </c>
      <c r="E805" s="530" t="s">
        <v>164</v>
      </c>
      <c r="F805" s="530" t="s">
        <v>152</v>
      </c>
      <c r="G805" s="530" t="s">
        <v>222</v>
      </c>
      <c r="H805" s="530"/>
      <c r="I805" s="530"/>
      <c r="J805" s="530"/>
      <c r="K805" s="530"/>
      <c r="L805" s="530"/>
      <c r="M805" s="530"/>
      <c r="N805" s="530"/>
      <c r="O805" s="530"/>
      <c r="P805" s="530"/>
      <c r="Q805" s="530"/>
      <c r="R805" s="530"/>
      <c r="S805" s="530"/>
      <c r="T805" s="530">
        <v>1770</v>
      </c>
      <c r="U805" s="530" t="s">
        <v>58</v>
      </c>
    </row>
    <row r="806" spans="1:21" ht="13.8" x14ac:dyDescent="0.3">
      <c r="A806" s="530" t="str">
        <f t="shared" si="20"/>
        <v>Gwynedd.2018.Accommodation - Bed Spaces.Serviced Accommodation 3</v>
      </c>
      <c r="B806" s="530" t="s">
        <v>219</v>
      </c>
      <c r="C806" s="530" t="str">
        <f t="shared" si="21"/>
        <v>2018.Accommodation - Bed Spaces.Serviced Accommodation 3</v>
      </c>
      <c r="D806" s="530" t="s">
        <v>238</v>
      </c>
      <c r="E806" s="530" t="s">
        <v>164</v>
      </c>
      <c r="F806" s="530" t="s">
        <v>153</v>
      </c>
      <c r="G806" s="530" t="s">
        <v>223</v>
      </c>
      <c r="H806" s="530"/>
      <c r="I806" s="530"/>
      <c r="J806" s="530"/>
      <c r="K806" s="530"/>
      <c r="L806" s="530"/>
      <c r="M806" s="530"/>
      <c r="N806" s="530"/>
      <c r="O806" s="530"/>
      <c r="P806" s="530"/>
      <c r="Q806" s="530"/>
      <c r="R806" s="530"/>
      <c r="S806" s="530"/>
      <c r="T806" s="530">
        <v>2783</v>
      </c>
      <c r="U806" s="530" t="s">
        <v>58</v>
      </c>
    </row>
    <row r="807" spans="1:21" ht="13.8" x14ac:dyDescent="0.3">
      <c r="A807" s="530" t="str">
        <f t="shared" si="20"/>
        <v>Gwynedd.2018.Accommodation - Bed Spaces.Serviced Accommodation 4</v>
      </c>
      <c r="B807" s="530" t="s">
        <v>219</v>
      </c>
      <c r="C807" s="530" t="str">
        <f t="shared" si="21"/>
        <v>2018.Accommodation - Bed Spaces.Serviced Accommodation 4</v>
      </c>
      <c r="D807" s="530" t="s">
        <v>238</v>
      </c>
      <c r="E807" s="530" t="s">
        <v>164</v>
      </c>
      <c r="F807" s="530" t="s">
        <v>154</v>
      </c>
      <c r="G807" s="530" t="s">
        <v>224</v>
      </c>
      <c r="H807" s="530"/>
      <c r="I807" s="530"/>
      <c r="J807" s="530"/>
      <c r="K807" s="530"/>
      <c r="L807" s="530"/>
      <c r="M807" s="530"/>
      <c r="N807" s="530"/>
      <c r="O807" s="530"/>
      <c r="P807" s="530"/>
      <c r="Q807" s="530"/>
      <c r="R807" s="530"/>
      <c r="S807" s="530"/>
      <c r="T807" s="530" t="s">
        <v>224</v>
      </c>
      <c r="U807" s="530" t="s">
        <v>58</v>
      </c>
    </row>
    <row r="808" spans="1:21" ht="13.8" x14ac:dyDescent="0.3">
      <c r="A808" s="530" t="str">
        <f t="shared" si="20"/>
        <v>Gwynedd.2018.Accommodation - Bed Spaces.Serviced Accommodation 5</v>
      </c>
      <c r="B808" s="530" t="s">
        <v>219</v>
      </c>
      <c r="C808" s="530" t="str">
        <f t="shared" si="21"/>
        <v>2018.Accommodation - Bed Spaces.Serviced Accommodation 5</v>
      </c>
      <c r="D808" s="530" t="s">
        <v>238</v>
      </c>
      <c r="E808" s="530" t="s">
        <v>164</v>
      </c>
      <c r="F808" s="530" t="s">
        <v>155</v>
      </c>
      <c r="G808" s="530" t="s">
        <v>224</v>
      </c>
      <c r="H808" s="530"/>
      <c r="I808" s="530"/>
      <c r="J808" s="530"/>
      <c r="K808" s="530"/>
      <c r="L808" s="530"/>
      <c r="M808" s="530"/>
      <c r="N808" s="530"/>
      <c r="O808" s="530"/>
      <c r="P808" s="530"/>
      <c r="Q808" s="530"/>
      <c r="R808" s="530"/>
      <c r="S808" s="530"/>
      <c r="T808" s="530" t="s">
        <v>224</v>
      </c>
      <c r="U808" s="530" t="s">
        <v>58</v>
      </c>
    </row>
    <row r="809" spans="1:21" ht="13.8" x14ac:dyDescent="0.3">
      <c r="A809" s="530" t="str">
        <f t="shared" si="20"/>
        <v>Gwynedd.2018.Accommodation - Bed Spaces.Serviced Accommodation Total</v>
      </c>
      <c r="B809" s="530" t="s">
        <v>219</v>
      </c>
      <c r="C809" s="530" t="str">
        <f t="shared" si="21"/>
        <v>2018.Accommodation - Bed Spaces.Serviced Accommodation Total</v>
      </c>
      <c r="D809" s="530" t="s">
        <v>238</v>
      </c>
      <c r="E809" s="530" t="s">
        <v>164</v>
      </c>
      <c r="F809" s="530" t="s">
        <v>161</v>
      </c>
      <c r="G809" s="530" t="s">
        <v>225</v>
      </c>
      <c r="H809" s="530"/>
      <c r="I809" s="530"/>
      <c r="J809" s="530"/>
      <c r="K809" s="530"/>
      <c r="L809" s="530"/>
      <c r="M809" s="530"/>
      <c r="N809" s="530"/>
      <c r="O809" s="530"/>
      <c r="P809" s="530"/>
      <c r="Q809" s="530"/>
      <c r="R809" s="530"/>
      <c r="S809" s="530"/>
      <c r="T809" s="530">
        <v>6376</v>
      </c>
      <c r="U809" s="530" t="s">
        <v>58</v>
      </c>
    </row>
    <row r="810" spans="1:21" ht="13.8" x14ac:dyDescent="0.3">
      <c r="A810" s="530" t="str">
        <f t="shared" si="20"/>
        <v>Gwynedd.2018.Accommodation - Bed Spaces.Non-Serviced Accommodation 1</v>
      </c>
      <c r="B810" s="530" t="s">
        <v>219</v>
      </c>
      <c r="C810" s="530" t="str">
        <f t="shared" si="21"/>
        <v>2018.Accommodation - Bed Spaces.Non-Serviced Accommodation 1</v>
      </c>
      <c r="D810" s="530" t="s">
        <v>238</v>
      </c>
      <c r="E810" s="530" t="s">
        <v>164</v>
      </c>
      <c r="F810" s="530" t="s">
        <v>156</v>
      </c>
      <c r="G810" s="530" t="s">
        <v>226</v>
      </c>
      <c r="H810" s="530"/>
      <c r="I810" s="530"/>
      <c r="J810" s="530"/>
      <c r="K810" s="530"/>
      <c r="L810" s="530"/>
      <c r="M810" s="530"/>
      <c r="N810" s="530"/>
      <c r="O810" s="530"/>
      <c r="P810" s="530"/>
      <c r="Q810" s="530"/>
      <c r="R810" s="530"/>
      <c r="S810" s="530"/>
      <c r="T810" s="530">
        <v>17560</v>
      </c>
      <c r="U810" s="530" t="s">
        <v>58</v>
      </c>
    </row>
    <row r="811" spans="1:21" ht="13.8" x14ac:dyDescent="0.3">
      <c r="A811" s="530" t="str">
        <f t="shared" si="20"/>
        <v>Gwynedd.2018.Accommodation - Bed Spaces.Non-Serviced Accommodation 2</v>
      </c>
      <c r="B811" s="530" t="s">
        <v>219</v>
      </c>
      <c r="C811" s="530" t="str">
        <f t="shared" si="21"/>
        <v>2018.Accommodation - Bed Spaces.Non-Serviced Accommodation 2</v>
      </c>
      <c r="D811" s="530" t="s">
        <v>238</v>
      </c>
      <c r="E811" s="530" t="s">
        <v>164</v>
      </c>
      <c r="F811" s="530" t="s">
        <v>157</v>
      </c>
      <c r="G811" s="530" t="s">
        <v>227</v>
      </c>
      <c r="H811" s="530"/>
      <c r="I811" s="530"/>
      <c r="J811" s="530"/>
      <c r="K811" s="530"/>
      <c r="L811" s="530"/>
      <c r="M811" s="530"/>
      <c r="N811" s="530"/>
      <c r="O811" s="530"/>
      <c r="P811" s="530"/>
      <c r="Q811" s="530"/>
      <c r="R811" s="530"/>
      <c r="S811" s="530"/>
      <c r="T811" s="530">
        <v>8160.642722117198</v>
      </c>
      <c r="U811" s="530" t="s">
        <v>58</v>
      </c>
    </row>
    <row r="812" spans="1:21" ht="13.8" x14ac:dyDescent="0.3">
      <c r="A812" s="530" t="str">
        <f t="shared" si="20"/>
        <v>Gwynedd.2018.Accommodation - Bed Spaces.Non-Serviced Accommodation 3</v>
      </c>
      <c r="B812" s="530" t="s">
        <v>219</v>
      </c>
      <c r="C812" s="530" t="str">
        <f t="shared" si="21"/>
        <v>2018.Accommodation - Bed Spaces.Non-Serviced Accommodation 3</v>
      </c>
      <c r="D812" s="530" t="s">
        <v>238</v>
      </c>
      <c r="E812" s="530" t="s">
        <v>164</v>
      </c>
      <c r="F812" s="530" t="s">
        <v>158</v>
      </c>
      <c r="G812" s="530" t="s">
        <v>228</v>
      </c>
      <c r="H812" s="530"/>
      <c r="I812" s="530"/>
      <c r="J812" s="530"/>
      <c r="K812" s="530"/>
      <c r="L812" s="530"/>
      <c r="M812" s="530"/>
      <c r="N812" s="530"/>
      <c r="O812" s="530"/>
      <c r="P812" s="530"/>
      <c r="Q812" s="530"/>
      <c r="R812" s="530"/>
      <c r="S812" s="530"/>
      <c r="T812" s="530">
        <v>25752</v>
      </c>
      <c r="U812" s="530" t="s">
        <v>58</v>
      </c>
    </row>
    <row r="813" spans="1:21" ht="13.8" x14ac:dyDescent="0.3">
      <c r="A813" s="530" t="str">
        <f t="shared" si="20"/>
        <v>Gwynedd.2018.Accommodation - Bed Spaces.Non-Serviced Accommodation 4</v>
      </c>
      <c r="B813" s="530" t="s">
        <v>219</v>
      </c>
      <c r="C813" s="530" t="str">
        <f t="shared" si="21"/>
        <v>2018.Accommodation - Bed Spaces.Non-Serviced Accommodation 4</v>
      </c>
      <c r="D813" s="530" t="s">
        <v>238</v>
      </c>
      <c r="E813" s="530" t="s">
        <v>164</v>
      </c>
      <c r="F813" s="530" t="s">
        <v>159</v>
      </c>
      <c r="G813" s="530" t="s">
        <v>229</v>
      </c>
      <c r="H813" s="530"/>
      <c r="I813" s="530"/>
      <c r="J813" s="530"/>
      <c r="K813" s="530"/>
      <c r="L813" s="530"/>
      <c r="M813" s="530"/>
      <c r="N813" s="530"/>
      <c r="O813" s="530"/>
      <c r="P813" s="530"/>
      <c r="Q813" s="530"/>
      <c r="R813" s="530"/>
      <c r="S813" s="530"/>
      <c r="T813" s="530">
        <v>45088.283059084315</v>
      </c>
      <c r="U813" s="530" t="s">
        <v>58</v>
      </c>
    </row>
    <row r="814" spans="1:21" ht="13.8" x14ac:dyDescent="0.3">
      <c r="A814" s="530" t="str">
        <f t="shared" si="20"/>
        <v>Gwynedd.2018.Accommodation - Bed Spaces.Non-Serviced Accommodation 5</v>
      </c>
      <c r="B814" s="530" t="s">
        <v>219</v>
      </c>
      <c r="C814" s="530" t="str">
        <f t="shared" si="21"/>
        <v>2018.Accommodation - Bed Spaces.Non-Serviced Accommodation 5</v>
      </c>
      <c r="D814" s="530" t="s">
        <v>238</v>
      </c>
      <c r="E814" s="530" t="s">
        <v>164</v>
      </c>
      <c r="F814" s="530" t="s">
        <v>160</v>
      </c>
      <c r="G814" s="530" t="s">
        <v>237</v>
      </c>
      <c r="H814" s="530"/>
      <c r="I814" s="530"/>
      <c r="J814" s="530"/>
      <c r="K814" s="530"/>
      <c r="L814" s="530"/>
      <c r="M814" s="530"/>
      <c r="N814" s="530"/>
      <c r="O814" s="530"/>
      <c r="P814" s="530"/>
      <c r="Q814" s="530"/>
      <c r="R814" s="530"/>
      <c r="S814" s="530"/>
      <c r="T814" s="530">
        <v>5954.1078760461469</v>
      </c>
      <c r="U814" s="530" t="s">
        <v>58</v>
      </c>
    </row>
    <row r="815" spans="1:21" ht="13.8" x14ac:dyDescent="0.3">
      <c r="A815" s="530" t="str">
        <f t="shared" si="20"/>
        <v>Gwynedd.2018.Accommodation - Bed Spaces.Non-Serviced Accommodation Total</v>
      </c>
      <c r="B815" s="530" t="s">
        <v>219</v>
      </c>
      <c r="C815" s="530" t="str">
        <f t="shared" si="21"/>
        <v>2018.Accommodation - Bed Spaces.Non-Serviced Accommodation Total</v>
      </c>
      <c r="D815" s="530" t="s">
        <v>238</v>
      </c>
      <c r="E815" s="530" t="s">
        <v>164</v>
      </c>
      <c r="F815" s="530" t="s">
        <v>162</v>
      </c>
      <c r="G815" s="530" t="s">
        <v>230</v>
      </c>
      <c r="H815" s="530"/>
      <c r="I815" s="530"/>
      <c r="J815" s="530"/>
      <c r="K815" s="530"/>
      <c r="L815" s="530"/>
      <c r="M815" s="530"/>
      <c r="N815" s="530"/>
      <c r="O815" s="530"/>
      <c r="P815" s="530"/>
      <c r="Q815" s="530"/>
      <c r="R815" s="530"/>
      <c r="S815" s="530"/>
      <c r="T815" s="530">
        <v>102515.03365724767</v>
      </c>
      <c r="U815" s="530" t="s">
        <v>58</v>
      </c>
    </row>
    <row r="816" spans="1:21" ht="13.8" x14ac:dyDescent="0.3">
      <c r="A816" s="530" t="str">
        <f t="shared" si="20"/>
        <v>Gwynedd.2018.Accommodation - Bed Spaces.All Accommodation Types</v>
      </c>
      <c r="B816" s="530" t="s">
        <v>219</v>
      </c>
      <c r="C816" s="530" t="str">
        <f t="shared" si="21"/>
        <v>2018.Accommodation - Bed Spaces.All Accommodation Types</v>
      </c>
      <c r="D816" s="530" t="s">
        <v>238</v>
      </c>
      <c r="E816" s="530" t="s">
        <v>164</v>
      </c>
      <c r="F816" s="530" t="s">
        <v>163</v>
      </c>
      <c r="G816" s="530" t="s">
        <v>38</v>
      </c>
      <c r="H816" s="530"/>
      <c r="I816" s="530"/>
      <c r="J816" s="530"/>
      <c r="K816" s="530"/>
      <c r="L816" s="530"/>
      <c r="M816" s="530"/>
      <c r="N816" s="530"/>
      <c r="O816" s="530"/>
      <c r="P816" s="530"/>
      <c r="Q816" s="530"/>
      <c r="R816" s="530"/>
      <c r="S816" s="530"/>
      <c r="T816" s="530">
        <v>108891.03365724767</v>
      </c>
      <c r="U816" s="530" t="s">
        <v>58</v>
      </c>
    </row>
    <row r="817" spans="1:21" ht="13.8" x14ac:dyDescent="0.3">
      <c r="A817" s="530" t="str">
        <f t="shared" si="18"/>
        <v>Gwynedd.2019.Accommodation - Establishments.Serviced Accommodation 1</v>
      </c>
      <c r="B817" s="530" t="s">
        <v>219</v>
      </c>
      <c r="C817" s="530" t="str">
        <f t="shared" si="19"/>
        <v>2019.Accommodation - Establishments.Serviced Accommodation 1</v>
      </c>
      <c r="D817" s="530" t="s">
        <v>239</v>
      </c>
      <c r="E817" s="530" t="s">
        <v>150</v>
      </c>
      <c r="F817" s="530" t="s">
        <v>151</v>
      </c>
      <c r="G817" s="530" t="s">
        <v>221</v>
      </c>
      <c r="H817" s="530"/>
      <c r="I817" s="530"/>
      <c r="J817" s="530"/>
      <c r="K817" s="530"/>
      <c r="L817" s="530"/>
      <c r="M817" s="530"/>
      <c r="N817" s="530"/>
      <c r="O817" s="530"/>
      <c r="P817" s="530"/>
      <c r="Q817" s="530"/>
      <c r="R817" s="530"/>
      <c r="S817" s="530"/>
      <c r="T817" s="530">
        <v>12</v>
      </c>
      <c r="U817" s="530" t="s">
        <v>149</v>
      </c>
    </row>
    <row r="818" spans="1:21" ht="13.8" x14ac:dyDescent="0.3">
      <c r="A818" s="530" t="str">
        <f t="shared" si="18"/>
        <v>Gwynedd.2019.Accommodation - Establishments.Serviced Accommodation 2</v>
      </c>
      <c r="B818" s="530" t="s">
        <v>219</v>
      </c>
      <c r="C818" s="530" t="str">
        <f t="shared" si="19"/>
        <v>2019.Accommodation - Establishments.Serviced Accommodation 2</v>
      </c>
      <c r="D818" s="530" t="s">
        <v>239</v>
      </c>
      <c r="E818" s="530" t="s">
        <v>150</v>
      </c>
      <c r="F818" s="530" t="s">
        <v>152</v>
      </c>
      <c r="G818" s="530" t="s">
        <v>222</v>
      </c>
      <c r="H818" s="530"/>
      <c r="I818" s="530"/>
      <c r="J818" s="530"/>
      <c r="K818" s="530"/>
      <c r="L818" s="530"/>
      <c r="M818" s="530"/>
      <c r="N818" s="530"/>
      <c r="O818" s="530"/>
      <c r="P818" s="530"/>
      <c r="Q818" s="530"/>
      <c r="R818" s="530"/>
      <c r="S818" s="530"/>
      <c r="T818" s="530">
        <v>48</v>
      </c>
      <c r="U818" s="530" t="s">
        <v>149</v>
      </c>
    </row>
    <row r="819" spans="1:21" ht="13.8" x14ac:dyDescent="0.3">
      <c r="A819" s="530" t="str">
        <f t="shared" si="18"/>
        <v>Gwynedd.2019.Accommodation - Establishments.Serviced Accommodation 3</v>
      </c>
      <c r="B819" s="530" t="s">
        <v>219</v>
      </c>
      <c r="C819" s="530" t="str">
        <f t="shared" si="19"/>
        <v>2019.Accommodation - Establishments.Serviced Accommodation 3</v>
      </c>
      <c r="D819" s="530" t="s">
        <v>239</v>
      </c>
      <c r="E819" s="530" t="s">
        <v>150</v>
      </c>
      <c r="F819" s="530" t="s">
        <v>153</v>
      </c>
      <c r="G819" s="530" t="s">
        <v>223</v>
      </c>
      <c r="H819" s="530"/>
      <c r="I819" s="530"/>
      <c r="J819" s="530"/>
      <c r="K819" s="530"/>
      <c r="L819" s="530"/>
      <c r="M819" s="530"/>
      <c r="N819" s="530"/>
      <c r="O819" s="530"/>
      <c r="P819" s="530"/>
      <c r="Q819" s="530"/>
      <c r="R819" s="530"/>
      <c r="S819" s="530"/>
      <c r="T819" s="530">
        <v>285</v>
      </c>
      <c r="U819" s="530" t="s">
        <v>149</v>
      </c>
    </row>
    <row r="820" spans="1:21" ht="13.8" x14ac:dyDescent="0.3">
      <c r="A820" s="530" t="str">
        <f t="shared" si="18"/>
        <v>Gwynedd.2019.Accommodation - Establishments.Serviced Accommodation 4</v>
      </c>
      <c r="B820" s="530" t="s">
        <v>219</v>
      </c>
      <c r="C820" s="530" t="str">
        <f t="shared" si="19"/>
        <v>2019.Accommodation - Establishments.Serviced Accommodation 4</v>
      </c>
      <c r="D820" s="530" t="s">
        <v>239</v>
      </c>
      <c r="E820" s="530" t="s">
        <v>150</v>
      </c>
      <c r="F820" s="530" t="s">
        <v>154</v>
      </c>
      <c r="G820" s="530" t="s">
        <v>224</v>
      </c>
      <c r="H820" s="530"/>
      <c r="I820" s="530"/>
      <c r="J820" s="530"/>
      <c r="K820" s="530"/>
      <c r="L820" s="530"/>
      <c r="M820" s="530"/>
      <c r="N820" s="530"/>
      <c r="O820" s="530"/>
      <c r="P820" s="530"/>
      <c r="Q820" s="530"/>
      <c r="R820" s="530"/>
      <c r="S820" s="530"/>
      <c r="T820" s="530" t="s">
        <v>224</v>
      </c>
      <c r="U820" s="530" t="s">
        <v>149</v>
      </c>
    </row>
    <row r="821" spans="1:21" ht="13.8" x14ac:dyDescent="0.3">
      <c r="A821" s="530" t="str">
        <f t="shared" si="18"/>
        <v>Gwynedd.2019.Accommodation - Establishments.Serviced Accommodation 5</v>
      </c>
      <c r="B821" s="530" t="s">
        <v>219</v>
      </c>
      <c r="C821" s="530" t="str">
        <f t="shared" si="19"/>
        <v>2019.Accommodation - Establishments.Serviced Accommodation 5</v>
      </c>
      <c r="D821" s="530" t="s">
        <v>239</v>
      </c>
      <c r="E821" s="530" t="s">
        <v>150</v>
      </c>
      <c r="F821" s="530" t="s">
        <v>155</v>
      </c>
      <c r="G821" s="530" t="s">
        <v>224</v>
      </c>
      <c r="H821" s="530"/>
      <c r="I821" s="530"/>
      <c r="J821" s="530"/>
      <c r="K821" s="530"/>
      <c r="L821" s="530"/>
      <c r="M821" s="530"/>
      <c r="N821" s="530"/>
      <c r="O821" s="530"/>
      <c r="P821" s="530"/>
      <c r="Q821" s="530"/>
      <c r="R821" s="530"/>
      <c r="S821" s="530"/>
      <c r="T821" s="530" t="s">
        <v>224</v>
      </c>
      <c r="U821" s="530" t="s">
        <v>149</v>
      </c>
    </row>
    <row r="822" spans="1:21" ht="15" customHeight="1" x14ac:dyDescent="0.3">
      <c r="A822" s="530" t="str">
        <f t="shared" si="18"/>
        <v>Gwynedd.2019.Accommodation - Establishments.Serviced Accommodation Total</v>
      </c>
      <c r="B822" s="530" t="s">
        <v>219</v>
      </c>
      <c r="C822" s="530" t="str">
        <f t="shared" si="19"/>
        <v>2019.Accommodation - Establishments.Serviced Accommodation Total</v>
      </c>
      <c r="D822" s="530" t="s">
        <v>239</v>
      </c>
      <c r="E822" s="530" t="s">
        <v>150</v>
      </c>
      <c r="F822" s="530" t="s">
        <v>161</v>
      </c>
      <c r="G822" s="530" t="s">
        <v>225</v>
      </c>
      <c r="H822" s="530"/>
      <c r="I822" s="530"/>
      <c r="J822" s="530"/>
      <c r="K822" s="530"/>
      <c r="L822" s="530"/>
      <c r="M822" s="530"/>
      <c r="N822" s="530"/>
      <c r="O822" s="530"/>
      <c r="P822" s="530"/>
      <c r="Q822" s="530"/>
      <c r="R822" s="530"/>
      <c r="S822" s="530"/>
      <c r="T822" s="530">
        <v>345</v>
      </c>
      <c r="U822" s="530" t="s">
        <v>149</v>
      </c>
    </row>
    <row r="823" spans="1:21" ht="15" customHeight="1" x14ac:dyDescent="0.3">
      <c r="A823" s="530" t="str">
        <f t="shared" si="18"/>
        <v>Gwynedd.2019.Accommodation - Establishments.Non-Serviced Accommodation 1</v>
      </c>
      <c r="B823" s="530" t="s">
        <v>219</v>
      </c>
      <c r="C823" s="530" t="str">
        <f t="shared" si="19"/>
        <v>2019.Accommodation - Establishments.Non-Serviced Accommodation 1</v>
      </c>
      <c r="D823" s="530" t="s">
        <v>239</v>
      </c>
      <c r="E823" s="530" t="s">
        <v>150</v>
      </c>
      <c r="F823" s="530" t="s">
        <v>156</v>
      </c>
      <c r="G823" s="530" t="s">
        <v>226</v>
      </c>
      <c r="H823" s="530"/>
      <c r="I823" s="530"/>
      <c r="J823" s="530"/>
      <c r="K823" s="530"/>
      <c r="L823" s="530"/>
      <c r="M823" s="530"/>
      <c r="N823" s="530"/>
      <c r="O823" s="530"/>
      <c r="P823" s="530"/>
      <c r="Q823" s="530"/>
      <c r="R823" s="530"/>
      <c r="S823" s="530"/>
      <c r="T823" s="530">
        <v>2477</v>
      </c>
      <c r="U823" s="530" t="s">
        <v>149</v>
      </c>
    </row>
    <row r="824" spans="1:21" ht="15" customHeight="1" x14ac:dyDescent="0.3">
      <c r="A824" s="530" t="str">
        <f t="shared" si="18"/>
        <v>Gwynedd.2019.Accommodation - Establishments.Non-Serviced Accommodation 2</v>
      </c>
      <c r="B824" s="530" t="s">
        <v>219</v>
      </c>
      <c r="C824" s="530" t="str">
        <f t="shared" si="19"/>
        <v>2019.Accommodation - Establishments.Non-Serviced Accommodation 2</v>
      </c>
      <c r="D824" s="530" t="s">
        <v>239</v>
      </c>
      <c r="E824" s="530" t="s">
        <v>150</v>
      </c>
      <c r="F824" s="530" t="s">
        <v>157</v>
      </c>
      <c r="G824" s="530" t="s">
        <v>227</v>
      </c>
      <c r="H824" s="530"/>
      <c r="I824" s="530"/>
      <c r="J824" s="530"/>
      <c r="K824" s="530"/>
      <c r="L824" s="530"/>
      <c r="M824" s="530"/>
      <c r="N824" s="530"/>
      <c r="O824" s="530"/>
      <c r="P824" s="530"/>
      <c r="Q824" s="530"/>
      <c r="R824" s="530"/>
      <c r="S824" s="530"/>
      <c r="T824" s="530">
        <v>133</v>
      </c>
      <c r="U824" s="530" t="s">
        <v>149</v>
      </c>
    </row>
    <row r="825" spans="1:21" ht="15" customHeight="1" x14ac:dyDescent="0.3">
      <c r="A825" s="530" t="str">
        <f t="shared" si="18"/>
        <v>Gwynedd.2019.Accommodation - Establishments.Non-Serviced Accommodation 3</v>
      </c>
      <c r="B825" s="530" t="s">
        <v>219</v>
      </c>
      <c r="C825" s="530" t="str">
        <f t="shared" si="19"/>
        <v>2019.Accommodation - Establishments.Non-Serviced Accommodation 3</v>
      </c>
      <c r="D825" s="530" t="s">
        <v>239</v>
      </c>
      <c r="E825" s="530" t="s">
        <v>150</v>
      </c>
      <c r="F825" s="530" t="s">
        <v>158</v>
      </c>
      <c r="G825" s="530" t="s">
        <v>228</v>
      </c>
      <c r="H825" s="530"/>
      <c r="I825" s="530"/>
      <c r="J825" s="530"/>
      <c r="K825" s="530"/>
      <c r="L825" s="530"/>
      <c r="M825" s="530"/>
      <c r="N825" s="530"/>
      <c r="O825" s="530"/>
      <c r="P825" s="530"/>
      <c r="Q825" s="530"/>
      <c r="R825" s="530"/>
      <c r="S825" s="530"/>
      <c r="T825" s="530">
        <v>220</v>
      </c>
      <c r="U825" s="530" t="s">
        <v>149</v>
      </c>
    </row>
    <row r="826" spans="1:21" ht="15" customHeight="1" x14ac:dyDescent="0.3">
      <c r="A826" s="530" t="str">
        <f t="shared" si="18"/>
        <v>Gwynedd.2019.Accommodation - Establishments.Non-Serviced Accommodation 4</v>
      </c>
      <c r="B826" s="530" t="s">
        <v>219</v>
      </c>
      <c r="C826" s="530" t="str">
        <f t="shared" si="19"/>
        <v>2019.Accommodation - Establishments.Non-Serviced Accommodation 4</v>
      </c>
      <c r="D826" s="530" t="s">
        <v>239</v>
      </c>
      <c r="E826" s="530" t="s">
        <v>150</v>
      </c>
      <c r="F826" s="530" t="s">
        <v>159</v>
      </c>
      <c r="G826" s="530" t="s">
        <v>229</v>
      </c>
      <c r="H826" s="530"/>
      <c r="I826" s="530"/>
      <c r="J826" s="530"/>
      <c r="K826" s="530"/>
      <c r="L826" s="530"/>
      <c r="M826" s="530"/>
      <c r="N826" s="530"/>
      <c r="O826" s="530"/>
      <c r="P826" s="530"/>
      <c r="Q826" s="530"/>
      <c r="R826" s="530"/>
      <c r="S826" s="530"/>
      <c r="T826" s="530">
        <v>0</v>
      </c>
      <c r="U826" s="530" t="s">
        <v>149</v>
      </c>
    </row>
    <row r="827" spans="1:21" ht="15" customHeight="1" x14ac:dyDescent="0.3">
      <c r="A827" s="530" t="str">
        <f t="shared" si="18"/>
        <v>Gwynedd.2019.Accommodation - Establishments.Non-Serviced Accommodation 5</v>
      </c>
      <c r="B827" s="530" t="s">
        <v>219</v>
      </c>
      <c r="C827" s="530" t="str">
        <f t="shared" si="19"/>
        <v>2019.Accommodation - Establishments.Non-Serviced Accommodation 5</v>
      </c>
      <c r="D827" s="530" t="s">
        <v>239</v>
      </c>
      <c r="E827" s="530" t="s">
        <v>150</v>
      </c>
      <c r="F827" s="530" t="s">
        <v>160</v>
      </c>
      <c r="G827" s="530" t="s">
        <v>237</v>
      </c>
      <c r="H827" s="530"/>
      <c r="I827" s="530"/>
      <c r="J827" s="530"/>
      <c r="K827" s="530"/>
      <c r="L827" s="530"/>
      <c r="M827" s="530"/>
      <c r="N827" s="530"/>
      <c r="O827" s="530"/>
      <c r="P827" s="530"/>
      <c r="Q827" s="530"/>
      <c r="R827" s="530"/>
      <c r="S827" s="530"/>
      <c r="T827" s="530">
        <v>0</v>
      </c>
      <c r="U827" s="530" t="s">
        <v>149</v>
      </c>
    </row>
    <row r="828" spans="1:21" ht="15" customHeight="1" x14ac:dyDescent="0.3">
      <c r="A828" s="530" t="str">
        <f t="shared" si="18"/>
        <v>Gwynedd.2019.Accommodation - Establishments.Non-Serviced Accommodation Total</v>
      </c>
      <c r="B828" s="530" t="s">
        <v>219</v>
      </c>
      <c r="C828" s="530" t="str">
        <f t="shared" si="19"/>
        <v>2019.Accommodation - Establishments.Non-Serviced Accommodation Total</v>
      </c>
      <c r="D828" s="530" t="s">
        <v>239</v>
      </c>
      <c r="E828" s="530" t="s">
        <v>150</v>
      </c>
      <c r="F828" s="530" t="s">
        <v>162</v>
      </c>
      <c r="G828" s="530" t="s">
        <v>230</v>
      </c>
      <c r="H828" s="530"/>
      <c r="I828" s="530"/>
      <c r="J828" s="530"/>
      <c r="K828" s="530"/>
      <c r="L828" s="530"/>
      <c r="M828" s="530"/>
      <c r="N828" s="530"/>
      <c r="O828" s="530"/>
      <c r="P828" s="530"/>
      <c r="Q828" s="530"/>
      <c r="R828" s="530"/>
      <c r="S828" s="530"/>
      <c r="T828" s="530">
        <v>2830</v>
      </c>
      <c r="U828" s="530" t="s">
        <v>149</v>
      </c>
    </row>
    <row r="829" spans="1:21" ht="15" customHeight="1" x14ac:dyDescent="0.3">
      <c r="A829" s="530" t="str">
        <f t="shared" si="18"/>
        <v>Gwynedd.2019.Accommodation - Establishments.All Accommodation Types</v>
      </c>
      <c r="B829" s="530" t="s">
        <v>219</v>
      </c>
      <c r="C829" s="530" t="str">
        <f t="shared" si="19"/>
        <v>2019.Accommodation - Establishments.All Accommodation Types</v>
      </c>
      <c r="D829" s="530" t="s">
        <v>239</v>
      </c>
      <c r="E829" s="530" t="s">
        <v>150</v>
      </c>
      <c r="F829" s="530" t="s">
        <v>163</v>
      </c>
      <c r="G829" s="530" t="s">
        <v>38</v>
      </c>
      <c r="H829" s="530"/>
      <c r="I829" s="530"/>
      <c r="J829" s="530"/>
      <c r="K829" s="530"/>
      <c r="L829" s="530"/>
      <c r="M829" s="530"/>
      <c r="N829" s="530"/>
      <c r="O829" s="530"/>
      <c r="P829" s="530"/>
      <c r="Q829" s="530"/>
      <c r="R829" s="530"/>
      <c r="S829" s="530"/>
      <c r="T829" s="530">
        <v>3175</v>
      </c>
      <c r="U829" s="530" t="s">
        <v>149</v>
      </c>
    </row>
    <row r="830" spans="1:21" ht="13.8" x14ac:dyDescent="0.3">
      <c r="A830" s="530" t="str">
        <f t="shared" si="18"/>
        <v>Gwynedd.2019.Accommodation - Bed Spaces.Serviced Accommodation 1</v>
      </c>
      <c r="B830" s="530" t="s">
        <v>219</v>
      </c>
      <c r="C830" s="530" t="str">
        <f t="shared" si="19"/>
        <v>2019.Accommodation - Bed Spaces.Serviced Accommodation 1</v>
      </c>
      <c r="D830" s="530" t="s">
        <v>239</v>
      </c>
      <c r="E830" s="530" t="s">
        <v>164</v>
      </c>
      <c r="F830" s="530" t="s">
        <v>151</v>
      </c>
      <c r="G830" s="530" t="s">
        <v>221</v>
      </c>
      <c r="H830" s="530"/>
      <c r="I830" s="530"/>
      <c r="J830" s="530"/>
      <c r="K830" s="530"/>
      <c r="L830" s="530"/>
      <c r="M830" s="530"/>
      <c r="N830" s="530"/>
      <c r="O830" s="530"/>
      <c r="P830" s="530"/>
      <c r="Q830" s="530"/>
      <c r="R830" s="530"/>
      <c r="S830" s="530"/>
      <c r="T830" s="530">
        <v>1823</v>
      </c>
      <c r="U830" s="530" t="s">
        <v>58</v>
      </c>
    </row>
    <row r="831" spans="1:21" ht="13.8" x14ac:dyDescent="0.3">
      <c r="A831" s="530" t="str">
        <f t="shared" si="18"/>
        <v>Gwynedd.2019.Accommodation - Bed Spaces.Serviced Accommodation 2</v>
      </c>
      <c r="B831" s="530" t="s">
        <v>219</v>
      </c>
      <c r="C831" s="530" t="str">
        <f t="shared" si="19"/>
        <v>2019.Accommodation - Bed Spaces.Serviced Accommodation 2</v>
      </c>
      <c r="D831" s="530" t="s">
        <v>239</v>
      </c>
      <c r="E831" s="530" t="s">
        <v>164</v>
      </c>
      <c r="F831" s="530" t="s">
        <v>152</v>
      </c>
      <c r="G831" s="530" t="s">
        <v>222</v>
      </c>
      <c r="H831" s="530"/>
      <c r="I831" s="530"/>
      <c r="J831" s="530"/>
      <c r="K831" s="530"/>
      <c r="L831" s="530"/>
      <c r="M831" s="530"/>
      <c r="N831" s="530"/>
      <c r="O831" s="530"/>
      <c r="P831" s="530"/>
      <c r="Q831" s="530"/>
      <c r="R831" s="530"/>
      <c r="S831" s="530"/>
      <c r="T831" s="530">
        <v>1770</v>
      </c>
      <c r="U831" s="530" t="s">
        <v>58</v>
      </c>
    </row>
    <row r="832" spans="1:21" ht="13.8" x14ac:dyDescent="0.3">
      <c r="A832" s="530" t="str">
        <f t="shared" si="18"/>
        <v>Gwynedd.2019.Accommodation - Bed Spaces.Serviced Accommodation 3</v>
      </c>
      <c r="B832" s="530" t="s">
        <v>219</v>
      </c>
      <c r="C832" s="530" t="str">
        <f t="shared" si="19"/>
        <v>2019.Accommodation - Bed Spaces.Serviced Accommodation 3</v>
      </c>
      <c r="D832" s="530" t="s">
        <v>239</v>
      </c>
      <c r="E832" s="530" t="s">
        <v>164</v>
      </c>
      <c r="F832" s="530" t="s">
        <v>153</v>
      </c>
      <c r="G832" s="530" t="s">
        <v>223</v>
      </c>
      <c r="H832" s="530"/>
      <c r="I832" s="530"/>
      <c r="J832" s="530"/>
      <c r="K832" s="530"/>
      <c r="L832" s="530"/>
      <c r="M832" s="530"/>
      <c r="N832" s="530"/>
      <c r="O832" s="530"/>
      <c r="P832" s="530"/>
      <c r="Q832" s="530"/>
      <c r="R832" s="530"/>
      <c r="S832" s="530"/>
      <c r="T832" s="530">
        <v>2783</v>
      </c>
      <c r="U832" s="530" t="s">
        <v>58</v>
      </c>
    </row>
    <row r="833" spans="1:21" ht="13.8" x14ac:dyDescent="0.3">
      <c r="A833" s="530" t="str">
        <f t="shared" si="18"/>
        <v>Gwynedd.2019.Accommodation - Bed Spaces.Serviced Accommodation 4</v>
      </c>
      <c r="B833" s="530" t="s">
        <v>219</v>
      </c>
      <c r="C833" s="530" t="str">
        <f t="shared" si="19"/>
        <v>2019.Accommodation - Bed Spaces.Serviced Accommodation 4</v>
      </c>
      <c r="D833" s="530" t="s">
        <v>239</v>
      </c>
      <c r="E833" s="530" t="s">
        <v>164</v>
      </c>
      <c r="F833" s="530" t="s">
        <v>154</v>
      </c>
      <c r="G833" s="530" t="s">
        <v>224</v>
      </c>
      <c r="H833" s="530"/>
      <c r="I833" s="530"/>
      <c r="J833" s="530"/>
      <c r="K833" s="530"/>
      <c r="L833" s="530"/>
      <c r="M833" s="530"/>
      <c r="N833" s="530"/>
      <c r="O833" s="530"/>
      <c r="P833" s="530"/>
      <c r="Q833" s="530"/>
      <c r="R833" s="530"/>
      <c r="S833" s="530"/>
      <c r="T833" s="530" t="s">
        <v>224</v>
      </c>
      <c r="U833" s="530" t="s">
        <v>58</v>
      </c>
    </row>
    <row r="834" spans="1:21" ht="13.8" x14ac:dyDescent="0.3">
      <c r="A834" s="530" t="str">
        <f t="shared" si="18"/>
        <v>Gwynedd.2019.Accommodation - Bed Spaces.Serviced Accommodation 5</v>
      </c>
      <c r="B834" s="530" t="s">
        <v>219</v>
      </c>
      <c r="C834" s="530" t="str">
        <f t="shared" si="19"/>
        <v>2019.Accommodation - Bed Spaces.Serviced Accommodation 5</v>
      </c>
      <c r="D834" s="530" t="s">
        <v>239</v>
      </c>
      <c r="E834" s="530" t="s">
        <v>164</v>
      </c>
      <c r="F834" s="530" t="s">
        <v>155</v>
      </c>
      <c r="G834" s="530" t="s">
        <v>224</v>
      </c>
      <c r="H834" s="530"/>
      <c r="I834" s="530"/>
      <c r="J834" s="530"/>
      <c r="K834" s="530"/>
      <c r="L834" s="530"/>
      <c r="M834" s="530"/>
      <c r="N834" s="530"/>
      <c r="O834" s="530"/>
      <c r="P834" s="530"/>
      <c r="Q834" s="530"/>
      <c r="R834" s="530"/>
      <c r="S834" s="530"/>
      <c r="T834" s="530" t="s">
        <v>224</v>
      </c>
      <c r="U834" s="530" t="s">
        <v>58</v>
      </c>
    </row>
    <row r="835" spans="1:21" ht="13.8" x14ac:dyDescent="0.3">
      <c r="A835" s="530" t="str">
        <f t="shared" si="18"/>
        <v>Gwynedd.2019.Accommodation - Bed Spaces.Serviced Accommodation Total</v>
      </c>
      <c r="B835" s="530" t="s">
        <v>219</v>
      </c>
      <c r="C835" s="530" t="str">
        <f t="shared" si="19"/>
        <v>2019.Accommodation - Bed Spaces.Serviced Accommodation Total</v>
      </c>
      <c r="D835" s="530" t="s">
        <v>239</v>
      </c>
      <c r="E835" s="530" t="s">
        <v>164</v>
      </c>
      <c r="F835" s="530" t="s">
        <v>161</v>
      </c>
      <c r="G835" s="530" t="s">
        <v>225</v>
      </c>
      <c r="H835" s="530"/>
      <c r="I835" s="530"/>
      <c r="J835" s="530"/>
      <c r="K835" s="530"/>
      <c r="L835" s="530"/>
      <c r="M835" s="530"/>
      <c r="N835" s="530"/>
      <c r="O835" s="530"/>
      <c r="P835" s="530"/>
      <c r="Q835" s="530"/>
      <c r="R835" s="530"/>
      <c r="S835" s="530"/>
      <c r="T835" s="530">
        <v>6376</v>
      </c>
      <c r="U835" s="530" t="s">
        <v>58</v>
      </c>
    </row>
    <row r="836" spans="1:21" ht="13.8" x14ac:dyDescent="0.3">
      <c r="A836" s="530" t="str">
        <f t="shared" si="18"/>
        <v>Gwynedd.2019.Accommodation - Bed Spaces.Non-Serviced Accommodation 1</v>
      </c>
      <c r="B836" s="530" t="s">
        <v>219</v>
      </c>
      <c r="C836" s="530" t="str">
        <f t="shared" si="19"/>
        <v>2019.Accommodation - Bed Spaces.Non-Serviced Accommodation 1</v>
      </c>
      <c r="D836" s="530" t="s">
        <v>239</v>
      </c>
      <c r="E836" s="530" t="s">
        <v>164</v>
      </c>
      <c r="F836" s="530" t="s">
        <v>156</v>
      </c>
      <c r="G836" s="530" t="s">
        <v>226</v>
      </c>
      <c r="H836" s="530"/>
      <c r="I836" s="530"/>
      <c r="J836" s="530"/>
      <c r="K836" s="530"/>
      <c r="L836" s="530"/>
      <c r="M836" s="530"/>
      <c r="N836" s="530"/>
      <c r="O836" s="530"/>
      <c r="P836" s="530"/>
      <c r="Q836" s="530"/>
      <c r="R836" s="530"/>
      <c r="S836" s="530"/>
      <c r="T836" s="530">
        <v>17560</v>
      </c>
      <c r="U836" s="530" t="s">
        <v>58</v>
      </c>
    </row>
    <row r="837" spans="1:21" ht="13.8" x14ac:dyDescent="0.3">
      <c r="A837" s="530" t="str">
        <f t="shared" si="18"/>
        <v>Gwynedd.2019.Accommodation - Bed Spaces.Non-Serviced Accommodation 2</v>
      </c>
      <c r="B837" s="530" t="s">
        <v>219</v>
      </c>
      <c r="C837" s="530" t="str">
        <f t="shared" si="19"/>
        <v>2019.Accommodation - Bed Spaces.Non-Serviced Accommodation 2</v>
      </c>
      <c r="D837" s="530" t="s">
        <v>239</v>
      </c>
      <c r="E837" s="530" t="s">
        <v>164</v>
      </c>
      <c r="F837" s="530" t="s">
        <v>157</v>
      </c>
      <c r="G837" s="530" t="s">
        <v>227</v>
      </c>
      <c r="H837" s="530"/>
      <c r="I837" s="530"/>
      <c r="J837" s="530"/>
      <c r="K837" s="530"/>
      <c r="L837" s="530"/>
      <c r="M837" s="530"/>
      <c r="N837" s="530"/>
      <c r="O837" s="530"/>
      <c r="P837" s="530"/>
      <c r="Q837" s="530"/>
      <c r="R837" s="530"/>
      <c r="S837" s="530"/>
      <c r="T837" s="530">
        <v>8160.642722117198</v>
      </c>
      <c r="U837" s="530" t="s">
        <v>58</v>
      </c>
    </row>
    <row r="838" spans="1:21" ht="13.8" x14ac:dyDescent="0.3">
      <c r="A838" s="530" t="str">
        <f t="shared" si="18"/>
        <v>Gwynedd.2019.Accommodation - Bed Spaces.Non-Serviced Accommodation 3</v>
      </c>
      <c r="B838" s="530" t="s">
        <v>219</v>
      </c>
      <c r="C838" s="530" t="str">
        <f t="shared" si="19"/>
        <v>2019.Accommodation - Bed Spaces.Non-Serviced Accommodation 3</v>
      </c>
      <c r="D838" s="530" t="s">
        <v>239</v>
      </c>
      <c r="E838" s="530" t="s">
        <v>164</v>
      </c>
      <c r="F838" s="530" t="s">
        <v>158</v>
      </c>
      <c r="G838" s="530" t="s">
        <v>228</v>
      </c>
      <c r="H838" s="530"/>
      <c r="I838" s="530"/>
      <c r="J838" s="530"/>
      <c r="K838" s="530"/>
      <c r="L838" s="530"/>
      <c r="M838" s="530"/>
      <c r="N838" s="530"/>
      <c r="O838" s="530"/>
      <c r="P838" s="530"/>
      <c r="Q838" s="530"/>
      <c r="R838" s="530"/>
      <c r="S838" s="530"/>
      <c r="T838" s="530">
        <v>25752</v>
      </c>
      <c r="U838" s="530" t="s">
        <v>58</v>
      </c>
    </row>
    <row r="839" spans="1:21" ht="13.8" x14ac:dyDescent="0.3">
      <c r="A839" s="530" t="str">
        <f t="shared" si="18"/>
        <v>Gwynedd.2019.Accommodation - Bed Spaces.Non-Serviced Accommodation 4</v>
      </c>
      <c r="B839" s="530" t="s">
        <v>219</v>
      </c>
      <c r="C839" s="530" t="str">
        <f t="shared" si="19"/>
        <v>2019.Accommodation - Bed Spaces.Non-Serviced Accommodation 4</v>
      </c>
      <c r="D839" s="530" t="s">
        <v>239</v>
      </c>
      <c r="E839" s="530" t="s">
        <v>164</v>
      </c>
      <c r="F839" s="530" t="s">
        <v>159</v>
      </c>
      <c r="G839" s="530" t="s">
        <v>229</v>
      </c>
      <c r="H839" s="530"/>
      <c r="I839" s="530"/>
      <c r="J839" s="530"/>
      <c r="K839" s="530"/>
      <c r="L839" s="530"/>
      <c r="M839" s="530"/>
      <c r="N839" s="530"/>
      <c r="O839" s="530"/>
      <c r="P839" s="530"/>
      <c r="Q839" s="530"/>
      <c r="R839" s="530"/>
      <c r="S839" s="530"/>
      <c r="T839" s="530">
        <v>45088.283059084315</v>
      </c>
      <c r="U839" s="530" t="s">
        <v>58</v>
      </c>
    </row>
    <row r="840" spans="1:21" ht="13.8" x14ac:dyDescent="0.3">
      <c r="A840" s="530" t="str">
        <f t="shared" si="18"/>
        <v>Gwynedd.2019.Accommodation - Bed Spaces.Non-Serviced Accommodation 5</v>
      </c>
      <c r="B840" s="530" t="s">
        <v>219</v>
      </c>
      <c r="C840" s="530" t="str">
        <f t="shared" si="19"/>
        <v>2019.Accommodation - Bed Spaces.Non-Serviced Accommodation 5</v>
      </c>
      <c r="D840" s="530" t="s">
        <v>239</v>
      </c>
      <c r="E840" s="530" t="s">
        <v>164</v>
      </c>
      <c r="F840" s="530" t="s">
        <v>160</v>
      </c>
      <c r="G840" s="530" t="s">
        <v>237</v>
      </c>
      <c r="H840" s="530"/>
      <c r="I840" s="530"/>
      <c r="J840" s="530"/>
      <c r="K840" s="530"/>
      <c r="L840" s="530"/>
      <c r="M840" s="530"/>
      <c r="N840" s="530"/>
      <c r="O840" s="530"/>
      <c r="P840" s="530"/>
      <c r="Q840" s="530"/>
      <c r="R840" s="530"/>
      <c r="S840" s="530"/>
      <c r="T840" s="530">
        <v>8183.5558148252594</v>
      </c>
      <c r="U840" s="530" t="s">
        <v>58</v>
      </c>
    </row>
    <row r="841" spans="1:21" ht="13.8" x14ac:dyDescent="0.3">
      <c r="A841" s="530" t="str">
        <f t="shared" si="18"/>
        <v>Gwynedd.2019.Accommodation - Bed Spaces.Non-Serviced Accommodation Total</v>
      </c>
      <c r="B841" s="530" t="s">
        <v>219</v>
      </c>
      <c r="C841" s="530" t="str">
        <f t="shared" si="19"/>
        <v>2019.Accommodation - Bed Spaces.Non-Serviced Accommodation Total</v>
      </c>
      <c r="D841" s="530" t="s">
        <v>239</v>
      </c>
      <c r="E841" s="530" t="s">
        <v>164</v>
      </c>
      <c r="F841" s="530" t="s">
        <v>162</v>
      </c>
      <c r="G841" s="530" t="s">
        <v>230</v>
      </c>
      <c r="H841" s="530"/>
      <c r="I841" s="530"/>
      <c r="J841" s="530"/>
      <c r="K841" s="530"/>
      <c r="L841" s="530"/>
      <c r="M841" s="530"/>
      <c r="N841" s="530"/>
      <c r="O841" s="530"/>
      <c r="P841" s="530"/>
      <c r="Q841" s="530"/>
      <c r="R841" s="530"/>
      <c r="S841" s="530"/>
      <c r="T841" s="530">
        <v>104744.48159602677</v>
      </c>
      <c r="U841" s="530" t="s">
        <v>58</v>
      </c>
    </row>
    <row r="842" spans="1:21" ht="13.8" x14ac:dyDescent="0.3">
      <c r="A842" s="530" t="str">
        <f t="shared" si="18"/>
        <v>Gwynedd.2019.Accommodation - Bed Spaces.All Accommodation Types</v>
      </c>
      <c r="B842" s="530" t="s">
        <v>219</v>
      </c>
      <c r="C842" s="530" t="str">
        <f t="shared" si="19"/>
        <v>2019.Accommodation - Bed Spaces.All Accommodation Types</v>
      </c>
      <c r="D842" s="530" t="s">
        <v>239</v>
      </c>
      <c r="E842" s="530" t="s">
        <v>164</v>
      </c>
      <c r="F842" s="530" t="s">
        <v>163</v>
      </c>
      <c r="G842" s="530" t="s">
        <v>38</v>
      </c>
      <c r="H842" s="530"/>
      <c r="I842" s="530"/>
      <c r="J842" s="530"/>
      <c r="K842" s="530"/>
      <c r="L842" s="530"/>
      <c r="M842" s="530"/>
      <c r="N842" s="530"/>
      <c r="O842" s="530"/>
      <c r="P842" s="530"/>
      <c r="Q842" s="530"/>
      <c r="R842" s="530"/>
      <c r="S842" s="530"/>
      <c r="T842" s="530">
        <v>111120.48159602677</v>
      </c>
      <c r="U842" s="530" t="s">
        <v>58</v>
      </c>
    </row>
    <row r="843" spans="1:21" ht="13.8" x14ac:dyDescent="0.3">
      <c r="A843" s="530" t="str">
        <f t="shared" ref="A843:A868" si="22">B843&amp;"."&amp;D843&amp;"."&amp;E843&amp;"."&amp;F843</f>
        <v>Gwynedd.2020.Accommodation - Establishments.Serviced Accommodation 1</v>
      </c>
      <c r="B843" s="530" t="s">
        <v>219</v>
      </c>
      <c r="C843" s="530" t="str">
        <f t="shared" ref="C843:C868" si="23">D843&amp;"."&amp;E843&amp;"."&amp;F843</f>
        <v>2020.Accommodation - Establishments.Serviced Accommodation 1</v>
      </c>
      <c r="D843" s="530" t="s">
        <v>240</v>
      </c>
      <c r="E843" s="530" t="s">
        <v>150</v>
      </c>
      <c r="F843" s="530" t="s">
        <v>151</v>
      </c>
      <c r="G843" s="530" t="s">
        <v>221</v>
      </c>
      <c r="H843" s="530"/>
      <c r="I843" s="530"/>
      <c r="J843" s="530"/>
      <c r="K843" s="530"/>
      <c r="L843" s="530"/>
      <c r="M843" s="530"/>
      <c r="N843" s="530"/>
      <c r="O843" s="530"/>
      <c r="P843" s="530"/>
      <c r="Q843" s="530"/>
      <c r="R843" s="530"/>
      <c r="S843" s="530"/>
      <c r="T843" s="530">
        <v>11</v>
      </c>
      <c r="U843" s="530" t="s">
        <v>149</v>
      </c>
    </row>
    <row r="844" spans="1:21" ht="13.8" x14ac:dyDescent="0.3">
      <c r="A844" s="530" t="str">
        <f t="shared" si="22"/>
        <v>Gwynedd.2020.Accommodation - Establishments.Serviced Accommodation 2</v>
      </c>
      <c r="B844" s="530" t="s">
        <v>219</v>
      </c>
      <c r="C844" s="530" t="str">
        <f t="shared" si="23"/>
        <v>2020.Accommodation - Establishments.Serviced Accommodation 2</v>
      </c>
      <c r="D844" s="530" t="s">
        <v>240</v>
      </c>
      <c r="E844" s="530" t="s">
        <v>150</v>
      </c>
      <c r="F844" s="530" t="s">
        <v>152</v>
      </c>
      <c r="G844" s="530" t="s">
        <v>222</v>
      </c>
      <c r="H844" s="530"/>
      <c r="I844" s="530"/>
      <c r="J844" s="530"/>
      <c r="K844" s="530"/>
      <c r="L844" s="530"/>
      <c r="M844" s="530"/>
      <c r="N844" s="530"/>
      <c r="O844" s="530"/>
      <c r="P844" s="530"/>
      <c r="Q844" s="530"/>
      <c r="R844" s="530"/>
      <c r="S844" s="530"/>
      <c r="T844" s="530">
        <v>47</v>
      </c>
      <c r="U844" s="530" t="s">
        <v>149</v>
      </c>
    </row>
    <row r="845" spans="1:21" ht="13.8" x14ac:dyDescent="0.3">
      <c r="A845" s="530" t="str">
        <f t="shared" si="22"/>
        <v>Gwynedd.2020.Accommodation - Establishments.Serviced Accommodation 3</v>
      </c>
      <c r="B845" s="530" t="s">
        <v>219</v>
      </c>
      <c r="C845" s="530" t="str">
        <f t="shared" si="23"/>
        <v>2020.Accommodation - Establishments.Serviced Accommodation 3</v>
      </c>
      <c r="D845" s="530" t="s">
        <v>240</v>
      </c>
      <c r="E845" s="530" t="s">
        <v>150</v>
      </c>
      <c r="F845" s="530" t="s">
        <v>153</v>
      </c>
      <c r="G845" s="530" t="s">
        <v>223</v>
      </c>
      <c r="H845" s="530"/>
      <c r="I845" s="530"/>
      <c r="J845" s="530"/>
      <c r="K845" s="530"/>
      <c r="L845" s="530"/>
      <c r="M845" s="530"/>
      <c r="N845" s="530"/>
      <c r="O845" s="530"/>
      <c r="P845" s="530"/>
      <c r="Q845" s="530"/>
      <c r="R845" s="530"/>
      <c r="S845" s="530"/>
      <c r="T845" s="530">
        <v>267</v>
      </c>
      <c r="U845" s="530" t="s">
        <v>149</v>
      </c>
    </row>
    <row r="846" spans="1:21" ht="13.8" x14ac:dyDescent="0.3">
      <c r="A846" s="530" t="str">
        <f t="shared" si="22"/>
        <v>Gwynedd.2020.Accommodation - Establishments.Serviced Accommodation 4</v>
      </c>
      <c r="B846" s="530" t="s">
        <v>219</v>
      </c>
      <c r="C846" s="530" t="str">
        <f t="shared" si="23"/>
        <v>2020.Accommodation - Establishments.Serviced Accommodation 4</v>
      </c>
      <c r="D846" s="530" t="s">
        <v>240</v>
      </c>
      <c r="E846" s="530" t="s">
        <v>150</v>
      </c>
      <c r="F846" s="530" t="s">
        <v>154</v>
      </c>
      <c r="G846" s="530" t="s">
        <v>224</v>
      </c>
      <c r="H846" s="530"/>
      <c r="I846" s="530"/>
      <c r="J846" s="530"/>
      <c r="K846" s="530"/>
      <c r="L846" s="530"/>
      <c r="M846" s="530"/>
      <c r="N846" s="530"/>
      <c r="O846" s="530"/>
      <c r="P846" s="530"/>
      <c r="Q846" s="530"/>
      <c r="R846" s="530"/>
      <c r="S846" s="530"/>
      <c r="T846" s="530" t="s">
        <v>224</v>
      </c>
      <c r="U846" s="530" t="s">
        <v>149</v>
      </c>
    </row>
    <row r="847" spans="1:21" ht="13.8" x14ac:dyDescent="0.3">
      <c r="A847" s="530" t="str">
        <f t="shared" si="22"/>
        <v>Gwynedd.2020.Accommodation - Establishments.Serviced Accommodation 5</v>
      </c>
      <c r="B847" s="530" t="s">
        <v>219</v>
      </c>
      <c r="C847" s="530" t="str">
        <f t="shared" si="23"/>
        <v>2020.Accommodation - Establishments.Serviced Accommodation 5</v>
      </c>
      <c r="D847" s="530" t="s">
        <v>240</v>
      </c>
      <c r="E847" s="530" t="s">
        <v>150</v>
      </c>
      <c r="F847" s="530" t="s">
        <v>155</v>
      </c>
      <c r="G847" s="530" t="s">
        <v>224</v>
      </c>
      <c r="H847" s="530"/>
      <c r="I847" s="530"/>
      <c r="J847" s="530"/>
      <c r="K847" s="530"/>
      <c r="L847" s="530"/>
      <c r="M847" s="530"/>
      <c r="N847" s="530"/>
      <c r="O847" s="530"/>
      <c r="P847" s="530"/>
      <c r="Q847" s="530"/>
      <c r="R847" s="530"/>
      <c r="S847" s="530"/>
      <c r="T847" s="530" t="s">
        <v>224</v>
      </c>
      <c r="U847" s="530" t="s">
        <v>149</v>
      </c>
    </row>
    <row r="848" spans="1:21" ht="15" customHeight="1" x14ac:dyDescent="0.3">
      <c r="A848" s="530" t="str">
        <f t="shared" si="22"/>
        <v>Gwynedd.2020.Accommodation - Establishments.Serviced Accommodation Total</v>
      </c>
      <c r="B848" s="530" t="s">
        <v>219</v>
      </c>
      <c r="C848" s="530" t="str">
        <f t="shared" si="23"/>
        <v>2020.Accommodation - Establishments.Serviced Accommodation Total</v>
      </c>
      <c r="D848" s="530" t="s">
        <v>240</v>
      </c>
      <c r="E848" s="530" t="s">
        <v>150</v>
      </c>
      <c r="F848" s="530" t="s">
        <v>161</v>
      </c>
      <c r="G848" s="530" t="s">
        <v>225</v>
      </c>
      <c r="H848" s="530"/>
      <c r="I848" s="530"/>
      <c r="J848" s="530"/>
      <c r="K848" s="530"/>
      <c r="L848" s="530"/>
      <c r="M848" s="530"/>
      <c r="N848" s="530"/>
      <c r="O848" s="530"/>
      <c r="P848" s="530"/>
      <c r="Q848" s="530"/>
      <c r="R848" s="530"/>
      <c r="S848" s="530"/>
      <c r="T848" s="530">
        <v>325</v>
      </c>
      <c r="U848" s="530" t="s">
        <v>149</v>
      </c>
    </row>
    <row r="849" spans="1:21" ht="15" customHeight="1" x14ac:dyDescent="0.3">
      <c r="A849" s="530" t="str">
        <f t="shared" si="22"/>
        <v>Gwynedd.2020.Accommodation - Establishments.Non-Serviced Accommodation 1</v>
      </c>
      <c r="B849" s="530" t="s">
        <v>219</v>
      </c>
      <c r="C849" s="530" t="str">
        <f t="shared" si="23"/>
        <v>2020.Accommodation - Establishments.Non-Serviced Accommodation 1</v>
      </c>
      <c r="D849" s="530" t="s">
        <v>240</v>
      </c>
      <c r="E849" s="530" t="s">
        <v>150</v>
      </c>
      <c r="F849" s="530" t="s">
        <v>156</v>
      </c>
      <c r="G849" s="530" t="s">
        <v>226</v>
      </c>
      <c r="H849" s="530"/>
      <c r="I849" s="530"/>
      <c r="J849" s="530"/>
      <c r="K849" s="530"/>
      <c r="L849" s="530"/>
      <c r="M849" s="530"/>
      <c r="N849" s="530"/>
      <c r="O849" s="530"/>
      <c r="P849" s="530"/>
      <c r="Q849" s="530"/>
      <c r="R849" s="530"/>
      <c r="S849" s="530"/>
      <c r="T849" s="530">
        <v>2427.46</v>
      </c>
      <c r="U849" s="530" t="s">
        <v>149</v>
      </c>
    </row>
    <row r="850" spans="1:21" ht="15" customHeight="1" x14ac:dyDescent="0.3">
      <c r="A850" s="530" t="str">
        <f t="shared" si="22"/>
        <v>Gwynedd.2020.Accommodation - Establishments.Non-Serviced Accommodation 2</v>
      </c>
      <c r="B850" s="530" t="s">
        <v>219</v>
      </c>
      <c r="C850" s="530" t="str">
        <f t="shared" si="23"/>
        <v>2020.Accommodation - Establishments.Non-Serviced Accommodation 2</v>
      </c>
      <c r="D850" s="530" t="s">
        <v>240</v>
      </c>
      <c r="E850" s="530" t="s">
        <v>150</v>
      </c>
      <c r="F850" s="530" t="s">
        <v>157</v>
      </c>
      <c r="G850" s="530" t="s">
        <v>227</v>
      </c>
      <c r="H850" s="530"/>
      <c r="I850" s="530"/>
      <c r="J850" s="530"/>
      <c r="K850" s="530"/>
      <c r="L850" s="530"/>
      <c r="M850" s="530"/>
      <c r="N850" s="530"/>
      <c r="O850" s="530"/>
      <c r="P850" s="530"/>
      <c r="Q850" s="530"/>
      <c r="R850" s="530"/>
      <c r="S850" s="530"/>
      <c r="T850" s="530">
        <v>131.66999999999999</v>
      </c>
      <c r="U850" s="530" t="s">
        <v>149</v>
      </c>
    </row>
    <row r="851" spans="1:21" ht="15" customHeight="1" x14ac:dyDescent="0.3">
      <c r="A851" s="530" t="str">
        <f t="shared" si="22"/>
        <v>Gwynedd.2020.Accommodation - Establishments.Non-Serviced Accommodation 3</v>
      </c>
      <c r="B851" s="530" t="s">
        <v>219</v>
      </c>
      <c r="C851" s="530" t="str">
        <f t="shared" si="23"/>
        <v>2020.Accommodation - Establishments.Non-Serviced Accommodation 3</v>
      </c>
      <c r="D851" s="530" t="s">
        <v>240</v>
      </c>
      <c r="E851" s="530" t="s">
        <v>150</v>
      </c>
      <c r="F851" s="530" t="s">
        <v>158</v>
      </c>
      <c r="G851" s="530" t="s">
        <v>228</v>
      </c>
      <c r="H851" s="530"/>
      <c r="I851" s="530"/>
      <c r="J851" s="530"/>
      <c r="K851" s="530"/>
      <c r="L851" s="530"/>
      <c r="M851" s="530"/>
      <c r="N851" s="530"/>
      <c r="O851" s="530"/>
      <c r="P851" s="530"/>
      <c r="Q851" s="530"/>
      <c r="R851" s="530"/>
      <c r="S851" s="530"/>
      <c r="T851" s="530">
        <v>217.8</v>
      </c>
      <c r="U851" s="530" t="s">
        <v>149</v>
      </c>
    </row>
    <row r="852" spans="1:21" ht="15" customHeight="1" x14ac:dyDescent="0.3">
      <c r="A852" s="530" t="str">
        <f t="shared" si="22"/>
        <v>Gwynedd.2020.Accommodation - Establishments.Non-Serviced Accommodation 4</v>
      </c>
      <c r="B852" s="530" t="s">
        <v>219</v>
      </c>
      <c r="C852" s="530" t="str">
        <f t="shared" si="23"/>
        <v>2020.Accommodation - Establishments.Non-Serviced Accommodation 4</v>
      </c>
      <c r="D852" s="530" t="s">
        <v>240</v>
      </c>
      <c r="E852" s="530" t="s">
        <v>150</v>
      </c>
      <c r="F852" s="530" t="s">
        <v>159</v>
      </c>
      <c r="G852" s="530" t="s">
        <v>229</v>
      </c>
      <c r="H852" s="530"/>
      <c r="I852" s="530"/>
      <c r="J852" s="530"/>
      <c r="K852" s="530"/>
      <c r="L852" s="530"/>
      <c r="M852" s="530"/>
      <c r="N852" s="530"/>
      <c r="O852" s="530"/>
      <c r="P852" s="530"/>
      <c r="Q852" s="530"/>
      <c r="R852" s="530"/>
      <c r="S852" s="530"/>
      <c r="T852" s="530">
        <v>0</v>
      </c>
      <c r="U852" s="530" t="s">
        <v>149</v>
      </c>
    </row>
    <row r="853" spans="1:21" ht="15" customHeight="1" x14ac:dyDescent="0.3">
      <c r="A853" s="530" t="str">
        <f t="shared" si="22"/>
        <v>Gwynedd.2020.Accommodation - Establishments.Non-Serviced Accommodation 5</v>
      </c>
      <c r="B853" s="530" t="s">
        <v>219</v>
      </c>
      <c r="C853" s="530" t="str">
        <f t="shared" si="23"/>
        <v>2020.Accommodation - Establishments.Non-Serviced Accommodation 5</v>
      </c>
      <c r="D853" s="530" t="s">
        <v>240</v>
      </c>
      <c r="E853" s="530" t="s">
        <v>150</v>
      </c>
      <c r="F853" s="530" t="s">
        <v>160</v>
      </c>
      <c r="G853" s="530" t="s">
        <v>237</v>
      </c>
      <c r="H853" s="530"/>
      <c r="I853" s="530"/>
      <c r="J853" s="530"/>
      <c r="K853" s="530"/>
      <c r="L853" s="530"/>
      <c r="M853" s="530"/>
      <c r="N853" s="530"/>
      <c r="O853" s="530"/>
      <c r="P853" s="530"/>
      <c r="Q853" s="530"/>
      <c r="R853" s="530"/>
      <c r="S853" s="530"/>
      <c r="T853" s="530">
        <v>6885.682006319269</v>
      </c>
      <c r="U853" s="530" t="s">
        <v>149</v>
      </c>
    </row>
    <row r="854" spans="1:21" ht="15" customHeight="1" x14ac:dyDescent="0.3">
      <c r="A854" s="530" t="str">
        <f t="shared" si="22"/>
        <v>Gwynedd.2020.Accommodation - Establishments.Non-Serviced Accommodation Total</v>
      </c>
      <c r="B854" s="530" t="s">
        <v>219</v>
      </c>
      <c r="C854" s="530" t="str">
        <f t="shared" si="23"/>
        <v>2020.Accommodation - Establishments.Non-Serviced Accommodation Total</v>
      </c>
      <c r="D854" s="530" t="s">
        <v>240</v>
      </c>
      <c r="E854" s="530" t="s">
        <v>150</v>
      </c>
      <c r="F854" s="530" t="s">
        <v>162</v>
      </c>
      <c r="G854" s="530" t="s">
        <v>230</v>
      </c>
      <c r="H854" s="530"/>
      <c r="I854" s="530"/>
      <c r="J854" s="530"/>
      <c r="K854" s="530"/>
      <c r="L854" s="530"/>
      <c r="M854" s="530"/>
      <c r="N854" s="530"/>
      <c r="O854" s="530"/>
      <c r="P854" s="530"/>
      <c r="Q854" s="530"/>
      <c r="R854" s="530"/>
      <c r="S854" s="530"/>
      <c r="T854" s="530">
        <v>9662.6120063192684</v>
      </c>
      <c r="U854" s="530" t="s">
        <v>149</v>
      </c>
    </row>
    <row r="855" spans="1:21" ht="15" customHeight="1" x14ac:dyDescent="0.3">
      <c r="A855" s="530" t="str">
        <f t="shared" si="22"/>
        <v>Gwynedd.2020.Accommodation - Establishments.All Accommodation Types</v>
      </c>
      <c r="B855" s="530" t="s">
        <v>219</v>
      </c>
      <c r="C855" s="530" t="str">
        <f t="shared" si="23"/>
        <v>2020.Accommodation - Establishments.All Accommodation Types</v>
      </c>
      <c r="D855" s="530" t="s">
        <v>240</v>
      </c>
      <c r="E855" s="530" t="s">
        <v>150</v>
      </c>
      <c r="F855" s="530" t="s">
        <v>163</v>
      </c>
      <c r="G855" s="530" t="s">
        <v>38</v>
      </c>
      <c r="H855" s="530"/>
      <c r="I855" s="530"/>
      <c r="J855" s="530"/>
      <c r="K855" s="530"/>
      <c r="L855" s="530"/>
      <c r="M855" s="530"/>
      <c r="N855" s="530"/>
      <c r="O855" s="530"/>
      <c r="P855" s="530"/>
      <c r="Q855" s="530"/>
      <c r="R855" s="530"/>
      <c r="S855" s="530"/>
      <c r="T855" s="530">
        <v>9987.6120063192684</v>
      </c>
      <c r="U855" s="530" t="s">
        <v>149</v>
      </c>
    </row>
    <row r="856" spans="1:21" ht="13.8" x14ac:dyDescent="0.3">
      <c r="A856" s="530" t="str">
        <f t="shared" si="22"/>
        <v>Gwynedd.2020.Accommodation - Bed Spaces.Serviced Accommodation 1</v>
      </c>
      <c r="B856" s="530" t="s">
        <v>219</v>
      </c>
      <c r="C856" s="530" t="str">
        <f t="shared" si="23"/>
        <v>2020.Accommodation - Bed Spaces.Serviced Accommodation 1</v>
      </c>
      <c r="D856" s="530" t="s">
        <v>240</v>
      </c>
      <c r="E856" s="530" t="s">
        <v>164</v>
      </c>
      <c r="F856" s="530" t="s">
        <v>151</v>
      </c>
      <c r="G856" s="530" t="s">
        <v>221</v>
      </c>
      <c r="H856" s="530"/>
      <c r="I856" s="530"/>
      <c r="J856" s="530"/>
      <c r="K856" s="530"/>
      <c r="L856" s="530"/>
      <c r="M856" s="530"/>
      <c r="N856" s="530"/>
      <c r="O856" s="530"/>
      <c r="P856" s="530"/>
      <c r="Q856" s="530"/>
      <c r="R856" s="530"/>
      <c r="S856" s="530"/>
      <c r="T856" s="530">
        <v>1693</v>
      </c>
      <c r="U856" s="530" t="s">
        <v>58</v>
      </c>
    </row>
    <row r="857" spans="1:21" ht="13.8" x14ac:dyDescent="0.3">
      <c r="A857" s="530" t="str">
        <f t="shared" si="22"/>
        <v>Gwynedd.2020.Accommodation - Bed Spaces.Serviced Accommodation 2</v>
      </c>
      <c r="B857" s="530" t="s">
        <v>219</v>
      </c>
      <c r="C857" s="530" t="str">
        <f t="shared" si="23"/>
        <v>2020.Accommodation - Bed Spaces.Serviced Accommodation 2</v>
      </c>
      <c r="D857" s="530" t="s">
        <v>240</v>
      </c>
      <c r="E857" s="530" t="s">
        <v>164</v>
      </c>
      <c r="F857" s="530" t="s">
        <v>152</v>
      </c>
      <c r="G857" s="530" t="s">
        <v>222</v>
      </c>
      <c r="H857" s="530"/>
      <c r="I857" s="530"/>
      <c r="J857" s="530"/>
      <c r="K857" s="530"/>
      <c r="L857" s="530"/>
      <c r="M857" s="530"/>
      <c r="N857" s="530"/>
      <c r="O857" s="530"/>
      <c r="P857" s="530"/>
      <c r="Q857" s="530"/>
      <c r="R857" s="530"/>
      <c r="S857" s="530"/>
      <c r="T857" s="530">
        <v>1735</v>
      </c>
      <c r="U857" s="530" t="s">
        <v>58</v>
      </c>
    </row>
    <row r="858" spans="1:21" ht="13.8" x14ac:dyDescent="0.3">
      <c r="A858" s="530" t="str">
        <f t="shared" si="22"/>
        <v>Gwynedd.2020.Accommodation - Bed Spaces.Serviced Accommodation 3</v>
      </c>
      <c r="B858" s="530" t="s">
        <v>219</v>
      </c>
      <c r="C858" s="530" t="str">
        <f t="shared" si="23"/>
        <v>2020.Accommodation - Bed Spaces.Serviced Accommodation 3</v>
      </c>
      <c r="D858" s="530" t="s">
        <v>240</v>
      </c>
      <c r="E858" s="530" t="s">
        <v>164</v>
      </c>
      <c r="F858" s="530" t="s">
        <v>153</v>
      </c>
      <c r="G858" s="530" t="s">
        <v>223</v>
      </c>
      <c r="H858" s="530"/>
      <c r="I858" s="530"/>
      <c r="J858" s="530"/>
      <c r="K858" s="530"/>
      <c r="L858" s="530"/>
      <c r="M858" s="530"/>
      <c r="N858" s="530"/>
      <c r="O858" s="530"/>
      <c r="P858" s="530"/>
      <c r="Q858" s="530"/>
      <c r="R858" s="530"/>
      <c r="S858" s="530"/>
      <c r="T858" s="530">
        <v>2620</v>
      </c>
      <c r="U858" s="530" t="s">
        <v>58</v>
      </c>
    </row>
    <row r="859" spans="1:21" ht="13.8" x14ac:dyDescent="0.3">
      <c r="A859" s="530" t="str">
        <f t="shared" si="22"/>
        <v>Gwynedd.2020.Accommodation - Bed Spaces.Serviced Accommodation 4</v>
      </c>
      <c r="B859" s="530" t="s">
        <v>219</v>
      </c>
      <c r="C859" s="530" t="str">
        <f t="shared" si="23"/>
        <v>2020.Accommodation - Bed Spaces.Serviced Accommodation 4</v>
      </c>
      <c r="D859" s="530" t="s">
        <v>240</v>
      </c>
      <c r="E859" s="530" t="s">
        <v>164</v>
      </c>
      <c r="F859" s="530" t="s">
        <v>154</v>
      </c>
      <c r="G859" s="530" t="s">
        <v>224</v>
      </c>
      <c r="H859" s="530"/>
      <c r="I859" s="530"/>
      <c r="J859" s="530"/>
      <c r="K859" s="530"/>
      <c r="L859" s="530"/>
      <c r="M859" s="530"/>
      <c r="N859" s="530"/>
      <c r="O859" s="530"/>
      <c r="P859" s="530"/>
      <c r="Q859" s="530"/>
      <c r="R859" s="530"/>
      <c r="S859" s="530"/>
      <c r="T859" s="530" t="s">
        <v>224</v>
      </c>
      <c r="U859" s="530" t="s">
        <v>58</v>
      </c>
    </row>
    <row r="860" spans="1:21" ht="13.8" x14ac:dyDescent="0.3">
      <c r="A860" s="530" t="str">
        <f t="shared" si="22"/>
        <v>Gwynedd.2020.Accommodation - Bed Spaces.Serviced Accommodation 5</v>
      </c>
      <c r="B860" s="530" t="s">
        <v>219</v>
      </c>
      <c r="C860" s="530" t="str">
        <f t="shared" si="23"/>
        <v>2020.Accommodation - Bed Spaces.Serviced Accommodation 5</v>
      </c>
      <c r="D860" s="530" t="s">
        <v>240</v>
      </c>
      <c r="E860" s="530" t="s">
        <v>164</v>
      </c>
      <c r="F860" s="530" t="s">
        <v>155</v>
      </c>
      <c r="G860" s="530" t="s">
        <v>224</v>
      </c>
      <c r="H860" s="530"/>
      <c r="I860" s="530"/>
      <c r="J860" s="530"/>
      <c r="K860" s="530"/>
      <c r="L860" s="530"/>
      <c r="M860" s="530"/>
      <c r="N860" s="530"/>
      <c r="O860" s="530"/>
      <c r="P860" s="530"/>
      <c r="Q860" s="530"/>
      <c r="R860" s="530"/>
      <c r="S860" s="530"/>
      <c r="T860" s="530" t="s">
        <v>224</v>
      </c>
      <c r="U860" s="530" t="s">
        <v>58</v>
      </c>
    </row>
    <row r="861" spans="1:21" ht="13.8" x14ac:dyDescent="0.3">
      <c r="A861" s="530" t="str">
        <f t="shared" si="22"/>
        <v>Gwynedd.2020.Accommodation - Bed Spaces.Serviced Accommodation Total</v>
      </c>
      <c r="B861" s="530" t="s">
        <v>219</v>
      </c>
      <c r="C861" s="530" t="str">
        <f t="shared" si="23"/>
        <v>2020.Accommodation - Bed Spaces.Serviced Accommodation Total</v>
      </c>
      <c r="D861" s="530" t="s">
        <v>240</v>
      </c>
      <c r="E861" s="530" t="s">
        <v>164</v>
      </c>
      <c r="F861" s="530" t="s">
        <v>161</v>
      </c>
      <c r="G861" s="530" t="s">
        <v>225</v>
      </c>
      <c r="H861" s="530"/>
      <c r="I861" s="530"/>
      <c r="J861" s="530"/>
      <c r="K861" s="530"/>
      <c r="L861" s="530"/>
      <c r="M861" s="530"/>
      <c r="N861" s="530"/>
      <c r="O861" s="530"/>
      <c r="P861" s="530"/>
      <c r="Q861" s="530"/>
      <c r="R861" s="530"/>
      <c r="S861" s="530"/>
      <c r="T861" s="530">
        <v>6048</v>
      </c>
      <c r="U861" s="530" t="s">
        <v>58</v>
      </c>
    </row>
    <row r="862" spans="1:21" ht="13.8" x14ac:dyDescent="0.3">
      <c r="A862" s="530" t="str">
        <f t="shared" si="22"/>
        <v>Gwynedd.2020.Accommodation - Bed Spaces.Non-Serviced Accommodation 1</v>
      </c>
      <c r="B862" s="530" t="s">
        <v>219</v>
      </c>
      <c r="C862" s="530" t="str">
        <f t="shared" si="23"/>
        <v>2020.Accommodation - Bed Spaces.Non-Serviced Accommodation 1</v>
      </c>
      <c r="D862" s="530" t="s">
        <v>240</v>
      </c>
      <c r="E862" s="530" t="s">
        <v>164</v>
      </c>
      <c r="F862" s="530" t="s">
        <v>156</v>
      </c>
      <c r="G862" s="530" t="s">
        <v>226</v>
      </c>
      <c r="H862" s="530"/>
      <c r="I862" s="530"/>
      <c r="J862" s="530"/>
      <c r="K862" s="530"/>
      <c r="L862" s="530"/>
      <c r="M862" s="530"/>
      <c r="N862" s="530"/>
      <c r="O862" s="530"/>
      <c r="P862" s="530"/>
      <c r="Q862" s="530"/>
      <c r="R862" s="530"/>
      <c r="S862" s="530"/>
      <c r="T862" s="530">
        <v>17157</v>
      </c>
      <c r="U862" s="530" t="s">
        <v>58</v>
      </c>
    </row>
    <row r="863" spans="1:21" ht="13.8" x14ac:dyDescent="0.3">
      <c r="A863" s="530" t="str">
        <f t="shared" si="22"/>
        <v>Gwynedd.2020.Accommodation - Bed Spaces.Non-Serviced Accommodation 2</v>
      </c>
      <c r="B863" s="530" t="s">
        <v>219</v>
      </c>
      <c r="C863" s="530" t="str">
        <f t="shared" si="23"/>
        <v>2020.Accommodation - Bed Spaces.Non-Serviced Accommodation 2</v>
      </c>
      <c r="D863" s="530" t="s">
        <v>240</v>
      </c>
      <c r="E863" s="530" t="s">
        <v>164</v>
      </c>
      <c r="F863" s="530" t="s">
        <v>157</v>
      </c>
      <c r="G863" s="530" t="s">
        <v>227</v>
      </c>
      <c r="H863" s="530"/>
      <c r="I863" s="530"/>
      <c r="J863" s="530"/>
      <c r="K863" s="530"/>
      <c r="L863" s="530"/>
      <c r="M863" s="530"/>
      <c r="N863" s="530"/>
      <c r="O863" s="530"/>
      <c r="P863" s="530"/>
      <c r="Q863" s="530"/>
      <c r="R863" s="530"/>
      <c r="S863" s="530"/>
      <c r="T863" s="530">
        <v>6038.875614366726</v>
      </c>
      <c r="U863" s="530" t="s">
        <v>58</v>
      </c>
    </row>
    <row r="864" spans="1:21" ht="13.8" x14ac:dyDescent="0.3">
      <c r="A864" s="530" t="str">
        <f t="shared" si="22"/>
        <v>Gwynedd.2020.Accommodation - Bed Spaces.Non-Serviced Accommodation 3</v>
      </c>
      <c r="B864" s="530" t="s">
        <v>219</v>
      </c>
      <c r="C864" s="530" t="str">
        <f t="shared" si="23"/>
        <v>2020.Accommodation - Bed Spaces.Non-Serviced Accommodation 3</v>
      </c>
      <c r="D864" s="530" t="s">
        <v>240</v>
      </c>
      <c r="E864" s="530" t="s">
        <v>164</v>
      </c>
      <c r="F864" s="530" t="s">
        <v>158</v>
      </c>
      <c r="G864" s="530" t="s">
        <v>228</v>
      </c>
      <c r="H864" s="530"/>
      <c r="I864" s="530"/>
      <c r="J864" s="530"/>
      <c r="K864" s="530"/>
      <c r="L864" s="530"/>
      <c r="M864" s="530"/>
      <c r="N864" s="530"/>
      <c r="O864" s="530"/>
      <c r="P864" s="530"/>
      <c r="Q864" s="530"/>
      <c r="R864" s="530"/>
      <c r="S864" s="530"/>
      <c r="T864" s="530">
        <v>20395.584000000003</v>
      </c>
      <c r="U864" s="530" t="s">
        <v>58</v>
      </c>
    </row>
    <row r="865" spans="1:21" ht="13.8" x14ac:dyDescent="0.3">
      <c r="A865" s="530" t="str">
        <f t="shared" si="22"/>
        <v>Gwynedd.2020.Accommodation - Bed Spaces.Non-Serviced Accommodation 4</v>
      </c>
      <c r="B865" s="530" t="s">
        <v>219</v>
      </c>
      <c r="C865" s="530" t="str">
        <f t="shared" si="23"/>
        <v>2020.Accommodation - Bed Spaces.Non-Serviced Accommodation 4</v>
      </c>
      <c r="D865" s="530" t="s">
        <v>240</v>
      </c>
      <c r="E865" s="530" t="s">
        <v>164</v>
      </c>
      <c r="F865" s="530" t="s">
        <v>159</v>
      </c>
      <c r="G865" s="530" t="s">
        <v>229</v>
      </c>
      <c r="H865" s="530"/>
      <c r="I865" s="530"/>
      <c r="J865" s="530"/>
      <c r="K865" s="530"/>
      <c r="L865" s="530"/>
      <c r="M865" s="530"/>
      <c r="N865" s="530"/>
      <c r="O865" s="530"/>
      <c r="P865" s="530"/>
      <c r="Q865" s="530"/>
      <c r="R865" s="530"/>
      <c r="S865" s="530"/>
      <c r="T865" s="530">
        <v>35698.000475409834</v>
      </c>
      <c r="U865" s="530" t="s">
        <v>58</v>
      </c>
    </row>
    <row r="866" spans="1:21" ht="13.8" x14ac:dyDescent="0.3">
      <c r="A866" s="530" t="str">
        <f t="shared" si="22"/>
        <v>Gwynedd.2020.Accommodation - Bed Spaces.Non-Serviced Accommodation 5</v>
      </c>
      <c r="B866" s="530" t="s">
        <v>219</v>
      </c>
      <c r="C866" s="530" t="str">
        <f t="shared" si="23"/>
        <v>2020.Accommodation - Bed Spaces.Non-Serviced Accommodation 5</v>
      </c>
      <c r="D866" s="530" t="s">
        <v>240</v>
      </c>
      <c r="E866" s="530" t="s">
        <v>164</v>
      </c>
      <c r="F866" s="530" t="s">
        <v>160</v>
      </c>
      <c r="G866" s="530" t="s">
        <v>237</v>
      </c>
      <c r="H866" s="530"/>
      <c r="I866" s="530"/>
      <c r="J866" s="530"/>
      <c r="K866" s="530"/>
      <c r="L866" s="530"/>
      <c r="M866" s="530"/>
      <c r="N866" s="530"/>
      <c r="O866" s="530"/>
      <c r="P866" s="530"/>
      <c r="Q866" s="530"/>
      <c r="R866" s="530"/>
      <c r="S866" s="530"/>
      <c r="T866" s="530">
        <v>6115.8989439731431</v>
      </c>
      <c r="U866" s="530" t="s">
        <v>58</v>
      </c>
    </row>
    <row r="867" spans="1:21" ht="13.8" x14ac:dyDescent="0.3">
      <c r="A867" s="530" t="str">
        <f t="shared" si="22"/>
        <v>Gwynedd.2020.Accommodation - Bed Spaces.Non-Serviced Accommodation Total</v>
      </c>
      <c r="B867" s="530" t="s">
        <v>219</v>
      </c>
      <c r="C867" s="530" t="str">
        <f t="shared" si="23"/>
        <v>2020.Accommodation - Bed Spaces.Non-Serviced Accommodation Total</v>
      </c>
      <c r="D867" s="530" t="s">
        <v>240</v>
      </c>
      <c r="E867" s="530" t="s">
        <v>164</v>
      </c>
      <c r="F867" s="530" t="s">
        <v>162</v>
      </c>
      <c r="G867" s="530" t="s">
        <v>230</v>
      </c>
      <c r="H867" s="530"/>
      <c r="I867" s="530"/>
      <c r="J867" s="530"/>
      <c r="K867" s="530"/>
      <c r="L867" s="530"/>
      <c r="M867" s="530"/>
      <c r="N867" s="530"/>
      <c r="O867" s="530"/>
      <c r="P867" s="530"/>
      <c r="Q867" s="530"/>
      <c r="R867" s="530"/>
      <c r="S867" s="530"/>
      <c r="T867" s="530">
        <v>85405.359033749701</v>
      </c>
      <c r="U867" s="530" t="s">
        <v>58</v>
      </c>
    </row>
    <row r="868" spans="1:21" ht="13.8" x14ac:dyDescent="0.3">
      <c r="A868" s="530" t="str">
        <f t="shared" si="22"/>
        <v>Gwynedd.2020.Accommodation - Bed Spaces.All Accommodation Types</v>
      </c>
      <c r="B868" s="530" t="s">
        <v>219</v>
      </c>
      <c r="C868" s="530" t="str">
        <f t="shared" si="23"/>
        <v>2020.Accommodation - Bed Spaces.All Accommodation Types</v>
      </c>
      <c r="D868" s="530" t="s">
        <v>240</v>
      </c>
      <c r="E868" s="530" t="s">
        <v>164</v>
      </c>
      <c r="F868" s="530" t="s">
        <v>163</v>
      </c>
      <c r="G868" s="530" t="s">
        <v>38</v>
      </c>
      <c r="H868" s="530"/>
      <c r="I868" s="530"/>
      <c r="J868" s="530"/>
      <c r="K868" s="530"/>
      <c r="L868" s="530"/>
      <c r="M868" s="530"/>
      <c r="N868" s="530"/>
      <c r="O868" s="530"/>
      <c r="P868" s="530"/>
      <c r="Q868" s="530"/>
      <c r="R868" s="530"/>
      <c r="S868" s="530"/>
      <c r="T868" s="530">
        <v>91453.359033749701</v>
      </c>
      <c r="U868" s="530" t="s">
        <v>58</v>
      </c>
    </row>
    <row r="869" spans="1:21" ht="13.8" x14ac:dyDescent="0.3">
      <c r="A869" s="530" t="str">
        <f t="shared" si="18"/>
        <v>Gwynedd.2021.Accommodation - Establishments.Serviced Accommodation 1</v>
      </c>
      <c r="B869" s="530" t="s">
        <v>219</v>
      </c>
      <c r="C869" s="530" t="str">
        <f t="shared" si="19"/>
        <v>2021.Accommodation - Establishments.Serviced Accommodation 1</v>
      </c>
      <c r="D869" s="530" t="s">
        <v>241</v>
      </c>
      <c r="E869" s="530" t="s">
        <v>150</v>
      </c>
      <c r="F869" s="530" t="s">
        <v>151</v>
      </c>
      <c r="G869" s="530" t="s">
        <v>221</v>
      </c>
      <c r="H869" s="530"/>
      <c r="I869" s="530"/>
      <c r="J869" s="530"/>
      <c r="K869" s="530"/>
      <c r="L869" s="530"/>
      <c r="M869" s="530"/>
      <c r="N869" s="530"/>
      <c r="O869" s="530"/>
      <c r="P869" s="530"/>
      <c r="Q869" s="530"/>
      <c r="R869" s="530"/>
      <c r="S869" s="530"/>
      <c r="T869" s="530">
        <v>12</v>
      </c>
      <c r="U869" s="530" t="s">
        <v>149</v>
      </c>
    </row>
    <row r="870" spans="1:21" ht="13.8" x14ac:dyDescent="0.3">
      <c r="A870" s="530" t="str">
        <f t="shared" si="18"/>
        <v>Gwynedd.2021.Accommodation - Establishments.Serviced Accommodation 2</v>
      </c>
      <c r="B870" s="530" t="s">
        <v>219</v>
      </c>
      <c r="C870" s="530" t="str">
        <f t="shared" si="19"/>
        <v>2021.Accommodation - Establishments.Serviced Accommodation 2</v>
      </c>
      <c r="D870" s="530" t="s">
        <v>241</v>
      </c>
      <c r="E870" s="530" t="s">
        <v>150</v>
      </c>
      <c r="F870" s="530" t="s">
        <v>152</v>
      </c>
      <c r="G870" s="530" t="s">
        <v>222</v>
      </c>
      <c r="H870" s="530"/>
      <c r="I870" s="530"/>
      <c r="J870" s="530"/>
      <c r="K870" s="530"/>
      <c r="L870" s="530"/>
      <c r="M870" s="530"/>
      <c r="N870" s="530"/>
      <c r="O870" s="530"/>
      <c r="P870" s="530"/>
      <c r="Q870" s="530"/>
      <c r="R870" s="530"/>
      <c r="S870" s="530"/>
      <c r="T870" s="530">
        <v>48</v>
      </c>
      <c r="U870" s="530" t="s">
        <v>149</v>
      </c>
    </row>
    <row r="871" spans="1:21" ht="13.8" x14ac:dyDescent="0.3">
      <c r="A871" s="530" t="str">
        <f t="shared" si="18"/>
        <v>Gwynedd.2021.Accommodation - Establishments.Serviced Accommodation 3</v>
      </c>
      <c r="B871" s="530" t="s">
        <v>219</v>
      </c>
      <c r="C871" s="530" t="str">
        <f t="shared" si="19"/>
        <v>2021.Accommodation - Establishments.Serviced Accommodation 3</v>
      </c>
      <c r="D871" s="530" t="s">
        <v>241</v>
      </c>
      <c r="E871" s="530" t="s">
        <v>150</v>
      </c>
      <c r="F871" s="530" t="s">
        <v>153</v>
      </c>
      <c r="G871" s="530" t="s">
        <v>223</v>
      </c>
      <c r="H871" s="530"/>
      <c r="I871" s="530"/>
      <c r="J871" s="530"/>
      <c r="K871" s="530"/>
      <c r="L871" s="530"/>
      <c r="M871" s="530"/>
      <c r="N871" s="530"/>
      <c r="O871" s="530"/>
      <c r="P871" s="530"/>
      <c r="Q871" s="530"/>
      <c r="R871" s="530"/>
      <c r="S871" s="530"/>
      <c r="T871" s="530">
        <v>285</v>
      </c>
      <c r="U871" s="530" t="s">
        <v>149</v>
      </c>
    </row>
    <row r="872" spans="1:21" ht="13.8" x14ac:dyDescent="0.3">
      <c r="A872" s="530" t="str">
        <f t="shared" si="18"/>
        <v>Gwynedd.2021.Accommodation - Establishments.Serviced Accommodation 4</v>
      </c>
      <c r="B872" s="530" t="s">
        <v>219</v>
      </c>
      <c r="C872" s="530" t="str">
        <f t="shared" si="19"/>
        <v>2021.Accommodation - Establishments.Serviced Accommodation 4</v>
      </c>
      <c r="D872" s="530" t="s">
        <v>241</v>
      </c>
      <c r="E872" s="530" t="s">
        <v>150</v>
      </c>
      <c r="F872" s="530" t="s">
        <v>154</v>
      </c>
      <c r="G872" s="530" t="s">
        <v>224</v>
      </c>
      <c r="H872" s="530"/>
      <c r="I872" s="530"/>
      <c r="J872" s="530"/>
      <c r="K872" s="530"/>
      <c r="L872" s="530"/>
      <c r="M872" s="530"/>
      <c r="N872" s="530"/>
      <c r="O872" s="530"/>
      <c r="P872" s="530"/>
      <c r="Q872" s="530"/>
      <c r="R872" s="530"/>
      <c r="S872" s="530"/>
      <c r="T872" s="530" t="s">
        <v>224</v>
      </c>
      <c r="U872" s="530" t="s">
        <v>149</v>
      </c>
    </row>
    <row r="873" spans="1:21" ht="13.8" x14ac:dyDescent="0.3">
      <c r="A873" s="530" t="str">
        <f t="shared" si="18"/>
        <v>Gwynedd.2021.Accommodation - Establishments.Serviced Accommodation 5</v>
      </c>
      <c r="B873" s="530" t="s">
        <v>219</v>
      </c>
      <c r="C873" s="530" t="str">
        <f t="shared" si="19"/>
        <v>2021.Accommodation - Establishments.Serviced Accommodation 5</v>
      </c>
      <c r="D873" s="530" t="s">
        <v>241</v>
      </c>
      <c r="E873" s="530" t="s">
        <v>150</v>
      </c>
      <c r="F873" s="530" t="s">
        <v>155</v>
      </c>
      <c r="G873" s="530" t="s">
        <v>224</v>
      </c>
      <c r="H873" s="530"/>
      <c r="I873" s="530"/>
      <c r="J873" s="530"/>
      <c r="K873" s="530"/>
      <c r="L873" s="530"/>
      <c r="M873" s="530"/>
      <c r="N873" s="530"/>
      <c r="O873" s="530"/>
      <c r="P873" s="530"/>
      <c r="Q873" s="530"/>
      <c r="R873" s="530"/>
      <c r="S873" s="530"/>
      <c r="T873" s="530" t="s">
        <v>224</v>
      </c>
      <c r="U873" s="530" t="s">
        <v>149</v>
      </c>
    </row>
    <row r="874" spans="1:21" ht="15" customHeight="1" x14ac:dyDescent="0.3">
      <c r="A874" s="530" t="str">
        <f t="shared" si="18"/>
        <v>Gwynedd.2021.Accommodation - Establishments.Serviced Accommodation Total</v>
      </c>
      <c r="B874" s="530" t="s">
        <v>219</v>
      </c>
      <c r="C874" s="530" t="str">
        <f t="shared" si="19"/>
        <v>2021.Accommodation - Establishments.Serviced Accommodation Total</v>
      </c>
      <c r="D874" s="530" t="s">
        <v>241</v>
      </c>
      <c r="E874" s="530" t="s">
        <v>150</v>
      </c>
      <c r="F874" s="530" t="s">
        <v>161</v>
      </c>
      <c r="G874" s="530" t="s">
        <v>225</v>
      </c>
      <c r="H874" s="530"/>
      <c r="I874" s="530"/>
      <c r="J874" s="530"/>
      <c r="K874" s="530"/>
      <c r="L874" s="530"/>
      <c r="M874" s="530"/>
      <c r="N874" s="530"/>
      <c r="O874" s="530"/>
      <c r="P874" s="530"/>
      <c r="Q874" s="530"/>
      <c r="R874" s="530"/>
      <c r="S874" s="530"/>
      <c r="T874" s="530">
        <v>345</v>
      </c>
      <c r="U874" s="530" t="s">
        <v>149</v>
      </c>
    </row>
    <row r="875" spans="1:21" ht="15" customHeight="1" x14ac:dyDescent="0.3">
      <c r="A875" s="530" t="str">
        <f t="shared" si="18"/>
        <v>Gwynedd.2021.Accommodation - Establishments.Non-Serviced Accommodation 1</v>
      </c>
      <c r="B875" s="530" t="s">
        <v>219</v>
      </c>
      <c r="C875" s="530" t="str">
        <f t="shared" si="19"/>
        <v>2021.Accommodation - Establishments.Non-Serviced Accommodation 1</v>
      </c>
      <c r="D875" s="530" t="s">
        <v>241</v>
      </c>
      <c r="E875" s="530" t="s">
        <v>150</v>
      </c>
      <c r="F875" s="530" t="s">
        <v>156</v>
      </c>
      <c r="G875" s="530" t="s">
        <v>226</v>
      </c>
      <c r="H875" s="530"/>
      <c r="I875" s="530"/>
      <c r="J875" s="530"/>
      <c r="K875" s="530"/>
      <c r="L875" s="530"/>
      <c r="M875" s="530"/>
      <c r="N875" s="530"/>
      <c r="O875" s="530"/>
      <c r="P875" s="530"/>
      <c r="Q875" s="530"/>
      <c r="R875" s="530"/>
      <c r="S875" s="530"/>
      <c r="T875" s="530">
        <v>2477</v>
      </c>
      <c r="U875" s="530" t="s">
        <v>149</v>
      </c>
    </row>
    <row r="876" spans="1:21" ht="15" customHeight="1" x14ac:dyDescent="0.3">
      <c r="A876" s="530" t="str">
        <f t="shared" si="18"/>
        <v>Gwynedd.2021.Accommodation - Establishments.Non-Serviced Accommodation 2</v>
      </c>
      <c r="B876" s="530" t="s">
        <v>219</v>
      </c>
      <c r="C876" s="530" t="str">
        <f t="shared" si="19"/>
        <v>2021.Accommodation - Establishments.Non-Serviced Accommodation 2</v>
      </c>
      <c r="D876" s="530" t="s">
        <v>241</v>
      </c>
      <c r="E876" s="530" t="s">
        <v>150</v>
      </c>
      <c r="F876" s="530" t="s">
        <v>157</v>
      </c>
      <c r="G876" s="530" t="s">
        <v>227</v>
      </c>
      <c r="H876" s="530"/>
      <c r="I876" s="530"/>
      <c r="J876" s="530"/>
      <c r="K876" s="530"/>
      <c r="L876" s="530"/>
      <c r="M876" s="530"/>
      <c r="N876" s="530"/>
      <c r="O876" s="530"/>
      <c r="P876" s="530"/>
      <c r="Q876" s="530"/>
      <c r="R876" s="530"/>
      <c r="S876" s="530"/>
      <c r="T876" s="530">
        <v>133</v>
      </c>
      <c r="U876" s="530" t="s">
        <v>149</v>
      </c>
    </row>
    <row r="877" spans="1:21" ht="15" customHeight="1" x14ac:dyDescent="0.3">
      <c r="A877" s="530" t="str">
        <f t="shared" si="18"/>
        <v>Gwynedd.2021.Accommodation - Establishments.Non-Serviced Accommodation 3</v>
      </c>
      <c r="B877" s="530" t="s">
        <v>219</v>
      </c>
      <c r="C877" s="530" t="str">
        <f t="shared" si="19"/>
        <v>2021.Accommodation - Establishments.Non-Serviced Accommodation 3</v>
      </c>
      <c r="D877" s="530" t="s">
        <v>241</v>
      </c>
      <c r="E877" s="530" t="s">
        <v>150</v>
      </c>
      <c r="F877" s="530" t="s">
        <v>158</v>
      </c>
      <c r="G877" s="530" t="s">
        <v>228</v>
      </c>
      <c r="H877" s="530"/>
      <c r="I877" s="530"/>
      <c r="J877" s="530"/>
      <c r="K877" s="530"/>
      <c r="L877" s="530"/>
      <c r="M877" s="530"/>
      <c r="N877" s="530"/>
      <c r="O877" s="530"/>
      <c r="P877" s="530"/>
      <c r="Q877" s="530"/>
      <c r="R877" s="530"/>
      <c r="S877" s="530"/>
      <c r="T877" s="530">
        <v>220</v>
      </c>
      <c r="U877" s="530" t="s">
        <v>149</v>
      </c>
    </row>
    <row r="878" spans="1:21" ht="15" customHeight="1" x14ac:dyDescent="0.3">
      <c r="A878" s="530" t="str">
        <f t="shared" si="18"/>
        <v>Gwynedd.2021.Accommodation - Establishments.Non-Serviced Accommodation 4</v>
      </c>
      <c r="B878" s="530" t="s">
        <v>219</v>
      </c>
      <c r="C878" s="530" t="str">
        <f t="shared" si="19"/>
        <v>2021.Accommodation - Establishments.Non-Serviced Accommodation 4</v>
      </c>
      <c r="D878" s="530" t="s">
        <v>241</v>
      </c>
      <c r="E878" s="530" t="s">
        <v>150</v>
      </c>
      <c r="F878" s="530" t="s">
        <v>159</v>
      </c>
      <c r="G878" s="530" t="s">
        <v>229</v>
      </c>
      <c r="H878" s="530"/>
      <c r="I878" s="530"/>
      <c r="J878" s="530"/>
      <c r="K878" s="530"/>
      <c r="L878" s="530"/>
      <c r="M878" s="530"/>
      <c r="N878" s="530"/>
      <c r="O878" s="530"/>
      <c r="P878" s="530"/>
      <c r="Q878" s="530"/>
      <c r="R878" s="530"/>
      <c r="S878" s="530"/>
      <c r="T878" s="530">
        <v>0</v>
      </c>
      <c r="U878" s="530" t="s">
        <v>149</v>
      </c>
    </row>
    <row r="879" spans="1:21" ht="15" customHeight="1" x14ac:dyDescent="0.3">
      <c r="A879" s="530" t="str">
        <f t="shared" si="18"/>
        <v>Gwynedd.2021.Accommodation - Establishments.Non-Serviced Accommodation 5</v>
      </c>
      <c r="B879" s="530" t="s">
        <v>219</v>
      </c>
      <c r="C879" s="530" t="str">
        <f t="shared" si="19"/>
        <v>2021.Accommodation - Establishments.Non-Serviced Accommodation 5</v>
      </c>
      <c r="D879" s="530" t="s">
        <v>241</v>
      </c>
      <c r="E879" s="530" t="s">
        <v>150</v>
      </c>
      <c r="F879" s="530" t="s">
        <v>160</v>
      </c>
      <c r="G879" s="530" t="s">
        <v>237</v>
      </c>
      <c r="H879" s="530"/>
      <c r="I879" s="530"/>
      <c r="J879" s="530"/>
      <c r="K879" s="530"/>
      <c r="L879" s="530"/>
      <c r="M879" s="530"/>
      <c r="N879" s="530"/>
      <c r="O879" s="530"/>
      <c r="P879" s="530"/>
      <c r="Q879" s="530"/>
      <c r="R879" s="530"/>
      <c r="S879" s="530"/>
      <c r="T879" s="530">
        <v>0</v>
      </c>
      <c r="U879" s="530" t="s">
        <v>149</v>
      </c>
    </row>
    <row r="880" spans="1:21" ht="15" customHeight="1" x14ac:dyDescent="0.3">
      <c r="A880" s="530" t="str">
        <f t="shared" si="18"/>
        <v>Gwynedd.2021.Accommodation - Establishments.Non-Serviced Accommodation Total</v>
      </c>
      <c r="B880" s="530" t="s">
        <v>219</v>
      </c>
      <c r="C880" s="530" t="str">
        <f t="shared" si="19"/>
        <v>2021.Accommodation - Establishments.Non-Serviced Accommodation Total</v>
      </c>
      <c r="D880" s="530" t="s">
        <v>241</v>
      </c>
      <c r="E880" s="530" t="s">
        <v>150</v>
      </c>
      <c r="F880" s="530" t="s">
        <v>162</v>
      </c>
      <c r="G880" s="530" t="s">
        <v>230</v>
      </c>
      <c r="H880" s="530"/>
      <c r="I880" s="530"/>
      <c r="J880" s="530"/>
      <c r="K880" s="530"/>
      <c r="L880" s="530"/>
      <c r="M880" s="530"/>
      <c r="N880" s="530"/>
      <c r="O880" s="530"/>
      <c r="P880" s="530"/>
      <c r="Q880" s="530"/>
      <c r="R880" s="530"/>
      <c r="S880" s="530"/>
      <c r="T880" s="530">
        <v>2830</v>
      </c>
      <c r="U880" s="530" t="s">
        <v>149</v>
      </c>
    </row>
    <row r="881" spans="1:21" ht="15" customHeight="1" x14ac:dyDescent="0.3">
      <c r="A881" s="530" t="str">
        <f t="shared" si="18"/>
        <v>Gwynedd.2021.Accommodation - Establishments.All Accommodation Types</v>
      </c>
      <c r="B881" s="530" t="s">
        <v>219</v>
      </c>
      <c r="C881" s="530" t="str">
        <f t="shared" si="19"/>
        <v>2021.Accommodation - Establishments.All Accommodation Types</v>
      </c>
      <c r="D881" s="530" t="s">
        <v>241</v>
      </c>
      <c r="E881" s="530" t="s">
        <v>150</v>
      </c>
      <c r="F881" s="530" t="s">
        <v>163</v>
      </c>
      <c r="G881" s="530" t="s">
        <v>38</v>
      </c>
      <c r="H881" s="530"/>
      <c r="I881" s="530"/>
      <c r="J881" s="530"/>
      <c r="K881" s="530"/>
      <c r="L881" s="530"/>
      <c r="M881" s="530"/>
      <c r="N881" s="530"/>
      <c r="O881" s="530"/>
      <c r="P881" s="530"/>
      <c r="Q881" s="530"/>
      <c r="R881" s="530"/>
      <c r="S881" s="530"/>
      <c r="T881" s="530">
        <v>3175</v>
      </c>
      <c r="U881" s="530" t="s">
        <v>149</v>
      </c>
    </row>
    <row r="882" spans="1:21" ht="13.8" x14ac:dyDescent="0.3">
      <c r="A882" s="530" t="str">
        <f t="shared" si="18"/>
        <v>Gwynedd.2021.Accommodation - Bed Spaces.Serviced Accommodation 1</v>
      </c>
      <c r="B882" s="530" t="s">
        <v>219</v>
      </c>
      <c r="C882" s="530" t="str">
        <f t="shared" si="19"/>
        <v>2021.Accommodation - Bed Spaces.Serviced Accommodation 1</v>
      </c>
      <c r="D882" s="530" t="s">
        <v>241</v>
      </c>
      <c r="E882" s="530" t="s">
        <v>164</v>
      </c>
      <c r="F882" s="530" t="s">
        <v>151</v>
      </c>
      <c r="G882" s="530" t="s">
        <v>221</v>
      </c>
      <c r="H882" s="530"/>
      <c r="I882" s="530"/>
      <c r="J882" s="530"/>
      <c r="K882" s="530"/>
      <c r="L882" s="530"/>
      <c r="M882" s="530"/>
      <c r="N882" s="530"/>
      <c r="O882" s="530"/>
      <c r="P882" s="530"/>
      <c r="Q882" s="530"/>
      <c r="R882" s="530"/>
      <c r="S882" s="530"/>
      <c r="T882" s="530">
        <v>1823</v>
      </c>
      <c r="U882" s="530" t="s">
        <v>58</v>
      </c>
    </row>
    <row r="883" spans="1:21" ht="13.8" x14ac:dyDescent="0.3">
      <c r="A883" s="530" t="str">
        <f t="shared" si="18"/>
        <v>Gwynedd.2021.Accommodation - Bed Spaces.Serviced Accommodation 2</v>
      </c>
      <c r="B883" s="530" t="s">
        <v>219</v>
      </c>
      <c r="C883" s="530" t="str">
        <f t="shared" si="19"/>
        <v>2021.Accommodation - Bed Spaces.Serviced Accommodation 2</v>
      </c>
      <c r="D883" s="530" t="s">
        <v>241</v>
      </c>
      <c r="E883" s="530" t="s">
        <v>164</v>
      </c>
      <c r="F883" s="530" t="s">
        <v>152</v>
      </c>
      <c r="G883" s="530" t="s">
        <v>222</v>
      </c>
      <c r="H883" s="530"/>
      <c r="I883" s="530"/>
      <c r="J883" s="530"/>
      <c r="K883" s="530"/>
      <c r="L883" s="530"/>
      <c r="M883" s="530"/>
      <c r="N883" s="530"/>
      <c r="O883" s="530"/>
      <c r="P883" s="530"/>
      <c r="Q883" s="530"/>
      <c r="R883" s="530"/>
      <c r="S883" s="530"/>
      <c r="T883" s="530">
        <v>1770</v>
      </c>
      <c r="U883" s="530" t="s">
        <v>58</v>
      </c>
    </row>
    <row r="884" spans="1:21" ht="13.8" x14ac:dyDescent="0.3">
      <c r="A884" s="530" t="str">
        <f t="shared" si="18"/>
        <v>Gwynedd.2021.Accommodation - Bed Spaces.Serviced Accommodation 3</v>
      </c>
      <c r="B884" s="530" t="s">
        <v>219</v>
      </c>
      <c r="C884" s="530" t="str">
        <f t="shared" si="19"/>
        <v>2021.Accommodation - Bed Spaces.Serviced Accommodation 3</v>
      </c>
      <c r="D884" s="530" t="s">
        <v>241</v>
      </c>
      <c r="E884" s="530" t="s">
        <v>164</v>
      </c>
      <c r="F884" s="530" t="s">
        <v>153</v>
      </c>
      <c r="G884" s="530" t="s">
        <v>223</v>
      </c>
      <c r="H884" s="530"/>
      <c r="I884" s="530"/>
      <c r="J884" s="530"/>
      <c r="K884" s="530"/>
      <c r="L884" s="530"/>
      <c r="M884" s="530"/>
      <c r="N884" s="530"/>
      <c r="O884" s="530"/>
      <c r="P884" s="530"/>
      <c r="Q884" s="530"/>
      <c r="R884" s="530"/>
      <c r="S884" s="530"/>
      <c r="T884" s="530">
        <v>2783</v>
      </c>
      <c r="U884" s="530" t="s">
        <v>58</v>
      </c>
    </row>
    <row r="885" spans="1:21" ht="13.8" x14ac:dyDescent="0.3">
      <c r="A885" s="530" t="str">
        <f t="shared" si="18"/>
        <v>Gwynedd.2021.Accommodation - Bed Spaces.Serviced Accommodation 4</v>
      </c>
      <c r="B885" s="530" t="s">
        <v>219</v>
      </c>
      <c r="C885" s="530" t="str">
        <f t="shared" si="19"/>
        <v>2021.Accommodation - Bed Spaces.Serviced Accommodation 4</v>
      </c>
      <c r="D885" s="530" t="s">
        <v>241</v>
      </c>
      <c r="E885" s="530" t="s">
        <v>164</v>
      </c>
      <c r="F885" s="530" t="s">
        <v>154</v>
      </c>
      <c r="G885" s="530" t="s">
        <v>224</v>
      </c>
      <c r="H885" s="530"/>
      <c r="I885" s="530"/>
      <c r="J885" s="530"/>
      <c r="K885" s="530"/>
      <c r="L885" s="530"/>
      <c r="M885" s="530"/>
      <c r="N885" s="530"/>
      <c r="O885" s="530"/>
      <c r="P885" s="530"/>
      <c r="Q885" s="530"/>
      <c r="R885" s="530"/>
      <c r="S885" s="530"/>
      <c r="T885" s="530" t="s">
        <v>224</v>
      </c>
      <c r="U885" s="530" t="s">
        <v>58</v>
      </c>
    </row>
    <row r="886" spans="1:21" ht="13.8" x14ac:dyDescent="0.3">
      <c r="A886" s="530" t="str">
        <f t="shared" si="18"/>
        <v>Gwynedd.2021.Accommodation - Bed Spaces.Serviced Accommodation 5</v>
      </c>
      <c r="B886" s="530" t="s">
        <v>219</v>
      </c>
      <c r="C886" s="530" t="str">
        <f t="shared" si="19"/>
        <v>2021.Accommodation - Bed Spaces.Serviced Accommodation 5</v>
      </c>
      <c r="D886" s="530" t="s">
        <v>241</v>
      </c>
      <c r="E886" s="530" t="s">
        <v>164</v>
      </c>
      <c r="F886" s="530" t="s">
        <v>155</v>
      </c>
      <c r="G886" s="530" t="s">
        <v>224</v>
      </c>
      <c r="H886" s="530"/>
      <c r="I886" s="530"/>
      <c r="J886" s="530"/>
      <c r="K886" s="530"/>
      <c r="L886" s="530"/>
      <c r="M886" s="530"/>
      <c r="N886" s="530"/>
      <c r="O886" s="530"/>
      <c r="P886" s="530"/>
      <c r="Q886" s="530"/>
      <c r="R886" s="530"/>
      <c r="S886" s="530"/>
      <c r="T886" s="530" t="s">
        <v>224</v>
      </c>
      <c r="U886" s="530" t="s">
        <v>58</v>
      </c>
    </row>
    <row r="887" spans="1:21" ht="13.8" x14ac:dyDescent="0.3">
      <c r="A887" s="530" t="str">
        <f t="shared" si="18"/>
        <v>Gwynedd.2021.Accommodation - Bed Spaces.Serviced Accommodation Total</v>
      </c>
      <c r="B887" s="530" t="s">
        <v>219</v>
      </c>
      <c r="C887" s="530" t="str">
        <f t="shared" si="19"/>
        <v>2021.Accommodation - Bed Spaces.Serviced Accommodation Total</v>
      </c>
      <c r="D887" s="530" t="s">
        <v>241</v>
      </c>
      <c r="E887" s="530" t="s">
        <v>164</v>
      </c>
      <c r="F887" s="530" t="s">
        <v>161</v>
      </c>
      <c r="G887" s="530" t="s">
        <v>225</v>
      </c>
      <c r="H887" s="530"/>
      <c r="I887" s="530"/>
      <c r="J887" s="530"/>
      <c r="K887" s="530"/>
      <c r="L887" s="530"/>
      <c r="M887" s="530"/>
      <c r="N887" s="530"/>
      <c r="O887" s="530"/>
      <c r="P887" s="530"/>
      <c r="Q887" s="530"/>
      <c r="R887" s="530"/>
      <c r="S887" s="530"/>
      <c r="T887" s="530">
        <v>6376</v>
      </c>
      <c r="U887" s="530" t="s">
        <v>58</v>
      </c>
    </row>
    <row r="888" spans="1:21" ht="13.8" x14ac:dyDescent="0.3">
      <c r="A888" s="530" t="str">
        <f t="shared" si="18"/>
        <v>Gwynedd.2021.Accommodation - Bed Spaces.Non-Serviced Accommodation 1</v>
      </c>
      <c r="B888" s="530" t="s">
        <v>219</v>
      </c>
      <c r="C888" s="530" t="str">
        <f t="shared" si="19"/>
        <v>2021.Accommodation - Bed Spaces.Non-Serviced Accommodation 1</v>
      </c>
      <c r="D888" s="530" t="s">
        <v>241</v>
      </c>
      <c r="E888" s="530" t="s">
        <v>164</v>
      </c>
      <c r="F888" s="530" t="s">
        <v>156</v>
      </c>
      <c r="G888" s="530" t="s">
        <v>226</v>
      </c>
      <c r="H888" s="530"/>
      <c r="I888" s="530"/>
      <c r="J888" s="530"/>
      <c r="K888" s="530"/>
      <c r="L888" s="530"/>
      <c r="M888" s="530"/>
      <c r="N888" s="530"/>
      <c r="O888" s="530"/>
      <c r="P888" s="530"/>
      <c r="Q888" s="530"/>
      <c r="R888" s="530"/>
      <c r="S888" s="530"/>
      <c r="T888" s="530">
        <v>17560</v>
      </c>
      <c r="U888" s="530" t="s">
        <v>58</v>
      </c>
    </row>
    <row r="889" spans="1:21" ht="13.8" x14ac:dyDescent="0.3">
      <c r="A889" s="530" t="str">
        <f t="shared" si="18"/>
        <v>Gwynedd.2021.Accommodation - Bed Spaces.Non-Serviced Accommodation 2</v>
      </c>
      <c r="B889" s="530" t="s">
        <v>219</v>
      </c>
      <c r="C889" s="530" t="str">
        <f t="shared" si="19"/>
        <v>2021.Accommodation - Bed Spaces.Non-Serviced Accommodation 2</v>
      </c>
      <c r="D889" s="530" t="s">
        <v>241</v>
      </c>
      <c r="E889" s="530" t="s">
        <v>164</v>
      </c>
      <c r="F889" s="530" t="s">
        <v>157</v>
      </c>
      <c r="G889" s="530" t="s">
        <v>227</v>
      </c>
      <c r="H889" s="530"/>
      <c r="I889" s="530"/>
      <c r="J889" s="530"/>
      <c r="K889" s="530"/>
      <c r="L889" s="530"/>
      <c r="M889" s="530"/>
      <c r="N889" s="530"/>
      <c r="O889" s="530"/>
      <c r="P889" s="530"/>
      <c r="Q889" s="530"/>
      <c r="R889" s="530"/>
      <c r="S889" s="530"/>
      <c r="T889" s="530">
        <v>7302.767076502736</v>
      </c>
      <c r="U889" s="530" t="s">
        <v>58</v>
      </c>
    </row>
    <row r="890" spans="1:21" ht="13.8" x14ac:dyDescent="0.3">
      <c r="A890" s="530" t="str">
        <f t="shared" si="18"/>
        <v>Gwynedd.2021.Accommodation - Bed Spaces.Non-Serviced Accommodation 3</v>
      </c>
      <c r="B890" s="530" t="s">
        <v>219</v>
      </c>
      <c r="C890" s="530" t="str">
        <f t="shared" si="19"/>
        <v>2021.Accommodation - Bed Spaces.Non-Serviced Accommodation 3</v>
      </c>
      <c r="D890" s="530" t="s">
        <v>241</v>
      </c>
      <c r="E890" s="530" t="s">
        <v>164</v>
      </c>
      <c r="F890" s="530" t="s">
        <v>158</v>
      </c>
      <c r="G890" s="530" t="s">
        <v>228</v>
      </c>
      <c r="H890" s="530"/>
      <c r="I890" s="530"/>
      <c r="J890" s="530"/>
      <c r="K890" s="530"/>
      <c r="L890" s="530"/>
      <c r="M890" s="530"/>
      <c r="N890" s="530"/>
      <c r="O890" s="530"/>
      <c r="P890" s="530"/>
      <c r="Q890" s="530"/>
      <c r="R890" s="530"/>
      <c r="S890" s="530"/>
      <c r="T890" s="530">
        <v>25752</v>
      </c>
      <c r="U890" s="530" t="s">
        <v>58</v>
      </c>
    </row>
    <row r="891" spans="1:21" ht="13.8" x14ac:dyDescent="0.3">
      <c r="A891" s="530" t="str">
        <f t="shared" si="18"/>
        <v>Gwynedd.2021.Accommodation - Bed Spaces.Non-Serviced Accommodation 4</v>
      </c>
      <c r="B891" s="530" t="s">
        <v>219</v>
      </c>
      <c r="C891" s="530" t="str">
        <f t="shared" si="19"/>
        <v>2021.Accommodation - Bed Spaces.Non-Serviced Accommodation 4</v>
      </c>
      <c r="D891" s="530" t="s">
        <v>241</v>
      </c>
      <c r="E891" s="530" t="s">
        <v>164</v>
      </c>
      <c r="F891" s="530" t="s">
        <v>159</v>
      </c>
      <c r="G891" s="530" t="s">
        <v>229</v>
      </c>
      <c r="H891" s="530"/>
      <c r="I891" s="530"/>
      <c r="J891" s="530"/>
      <c r="K891" s="530"/>
      <c r="L891" s="530"/>
      <c r="M891" s="530"/>
      <c r="N891" s="530"/>
      <c r="O891" s="530"/>
      <c r="P891" s="530"/>
      <c r="Q891" s="530"/>
      <c r="R891" s="530"/>
      <c r="S891" s="530"/>
      <c r="T891" s="530">
        <v>45088.283059084315</v>
      </c>
      <c r="U891" s="530" t="s">
        <v>58</v>
      </c>
    </row>
    <row r="892" spans="1:21" ht="13.8" x14ac:dyDescent="0.3">
      <c r="A892" s="530" t="str">
        <f t="shared" si="18"/>
        <v>Gwynedd.2021.Accommodation - Bed Spaces.Non-Serviced Accommodation 5</v>
      </c>
      <c r="B892" s="530" t="s">
        <v>219</v>
      </c>
      <c r="C892" s="530" t="str">
        <f t="shared" si="19"/>
        <v>2021.Accommodation - Bed Spaces.Non-Serviced Accommodation 5</v>
      </c>
      <c r="D892" s="530" t="s">
        <v>241</v>
      </c>
      <c r="E892" s="530" t="s">
        <v>164</v>
      </c>
      <c r="F892" s="530" t="s">
        <v>160</v>
      </c>
      <c r="G892" s="530" t="s">
        <v>237</v>
      </c>
      <c r="H892" s="530"/>
      <c r="I892" s="530"/>
      <c r="J892" s="530"/>
      <c r="K892" s="530"/>
      <c r="L892" s="530"/>
      <c r="M892" s="530"/>
      <c r="N892" s="530"/>
      <c r="O892" s="530"/>
      <c r="P892" s="530"/>
      <c r="Q892" s="530"/>
      <c r="R892" s="530"/>
      <c r="S892" s="530"/>
      <c r="T892" s="530">
        <v>8479.7497885515804</v>
      </c>
      <c r="U892" s="530" t="s">
        <v>58</v>
      </c>
    </row>
    <row r="893" spans="1:21" ht="13.8" x14ac:dyDescent="0.3">
      <c r="A893" s="530" t="str">
        <f t="shared" si="18"/>
        <v>Gwynedd.2021.Accommodation - Bed Spaces.Non-Serviced Accommodation Total</v>
      </c>
      <c r="B893" s="530" t="s">
        <v>219</v>
      </c>
      <c r="C893" s="530" t="str">
        <f t="shared" si="19"/>
        <v>2021.Accommodation - Bed Spaces.Non-Serviced Accommodation Total</v>
      </c>
      <c r="D893" s="530" t="s">
        <v>241</v>
      </c>
      <c r="E893" s="530" t="s">
        <v>164</v>
      </c>
      <c r="F893" s="530" t="s">
        <v>162</v>
      </c>
      <c r="G893" s="530" t="s">
        <v>230</v>
      </c>
      <c r="H893" s="530"/>
      <c r="I893" s="530"/>
      <c r="J893" s="530"/>
      <c r="K893" s="530"/>
      <c r="L893" s="530"/>
      <c r="M893" s="530"/>
      <c r="N893" s="530"/>
      <c r="O893" s="530"/>
      <c r="P893" s="530"/>
      <c r="Q893" s="530"/>
      <c r="R893" s="530"/>
      <c r="S893" s="530"/>
      <c r="T893" s="530">
        <v>104182.79992413863</v>
      </c>
      <c r="U893" s="530" t="s">
        <v>58</v>
      </c>
    </row>
    <row r="894" spans="1:21" ht="13.8" x14ac:dyDescent="0.3">
      <c r="A894" s="530" t="str">
        <f t="shared" si="18"/>
        <v>Gwynedd.2021.Accommodation - Bed Spaces.All Accommodation Types</v>
      </c>
      <c r="B894" s="530" t="s">
        <v>219</v>
      </c>
      <c r="C894" s="530" t="str">
        <f t="shared" si="19"/>
        <v>2021.Accommodation - Bed Spaces.All Accommodation Types</v>
      </c>
      <c r="D894" s="530" t="s">
        <v>241</v>
      </c>
      <c r="E894" s="530" t="s">
        <v>164</v>
      </c>
      <c r="F894" s="530" t="s">
        <v>163</v>
      </c>
      <c r="G894" s="530" t="s">
        <v>38</v>
      </c>
      <c r="H894" s="530"/>
      <c r="I894" s="530"/>
      <c r="J894" s="530"/>
      <c r="K894" s="530"/>
      <c r="L894" s="530"/>
      <c r="M894" s="530"/>
      <c r="N894" s="530"/>
      <c r="O894" s="530"/>
      <c r="P894" s="530"/>
      <c r="Q894" s="530"/>
      <c r="R894" s="530"/>
      <c r="S894" s="530"/>
      <c r="T894" s="530">
        <v>110558.79992413863</v>
      </c>
      <c r="U894" s="530" t="s">
        <v>58</v>
      </c>
    </row>
    <row r="895" spans="1:21" ht="13.8" x14ac:dyDescent="0.3">
      <c r="A895" s="530" t="str">
        <f t="shared" ref="A895" si="24">B895&amp;"."&amp;D895&amp;"."&amp;E895&amp;"."&amp;F895</f>
        <v>Gwynedd.2022.Accommodation - Establishments.Serviced Accommodation 1</v>
      </c>
      <c r="B895" s="530" t="s">
        <v>219</v>
      </c>
      <c r="C895" s="530" t="str">
        <f t="shared" ref="C895" si="25">D895&amp;"."&amp;E895&amp;"."&amp;F895</f>
        <v>2022.Accommodation - Establishments.Serviced Accommodation 1</v>
      </c>
      <c r="D895" s="530" t="s">
        <v>242</v>
      </c>
      <c r="E895" s="530" t="s">
        <v>150</v>
      </c>
      <c r="F895" s="530" t="s">
        <v>151</v>
      </c>
      <c r="G895" s="530" t="s">
        <v>221</v>
      </c>
      <c r="H895" s="530"/>
      <c r="I895" s="530"/>
      <c r="J895" s="530"/>
      <c r="K895" s="530"/>
      <c r="L895" s="530"/>
      <c r="M895" s="530"/>
      <c r="N895" s="530"/>
      <c r="O895" s="530"/>
      <c r="P895" s="530"/>
      <c r="Q895" s="530"/>
      <c r="R895" s="530"/>
      <c r="S895" s="530"/>
      <c r="T895" s="530">
        <v>12</v>
      </c>
      <c r="U895" s="530" t="s">
        <v>149</v>
      </c>
    </row>
    <row r="896" spans="1:21" ht="13.8" x14ac:dyDescent="0.3">
      <c r="A896" s="530" t="str">
        <f t="shared" ref="A896:A900" si="26">B896&amp;"."&amp;D896&amp;"."&amp;E896&amp;"."&amp;F896</f>
        <v>Gwynedd.2022.Accommodation - Establishments.Serviced Accommodation 2</v>
      </c>
      <c r="B896" s="530" t="s">
        <v>219</v>
      </c>
      <c r="C896" s="530" t="str">
        <f t="shared" ref="C896:C900" si="27">D896&amp;"."&amp;E896&amp;"."&amp;F896</f>
        <v>2022.Accommodation - Establishments.Serviced Accommodation 2</v>
      </c>
      <c r="D896" s="530" t="s">
        <v>242</v>
      </c>
      <c r="E896" s="530" t="s">
        <v>150</v>
      </c>
      <c r="F896" s="530" t="s">
        <v>152</v>
      </c>
      <c r="G896" s="530" t="s">
        <v>222</v>
      </c>
      <c r="H896" s="530"/>
      <c r="I896" s="530"/>
      <c r="J896" s="530"/>
      <c r="K896" s="530"/>
      <c r="L896" s="530"/>
      <c r="M896" s="530"/>
      <c r="N896" s="530"/>
      <c r="O896" s="530"/>
      <c r="P896" s="530"/>
      <c r="Q896" s="530"/>
      <c r="R896" s="530"/>
      <c r="S896" s="530"/>
      <c r="T896" s="530">
        <v>48</v>
      </c>
      <c r="U896" s="530" t="s">
        <v>149</v>
      </c>
    </row>
    <row r="897" spans="1:21" ht="13.8" x14ac:dyDescent="0.3">
      <c r="A897" s="530" t="str">
        <f t="shared" si="26"/>
        <v>Gwynedd.2022.Accommodation - Establishments.Serviced Accommodation 3</v>
      </c>
      <c r="B897" s="530" t="s">
        <v>219</v>
      </c>
      <c r="C897" s="530" t="str">
        <f t="shared" si="27"/>
        <v>2022.Accommodation - Establishments.Serviced Accommodation 3</v>
      </c>
      <c r="D897" s="530" t="s">
        <v>242</v>
      </c>
      <c r="E897" s="530" t="s">
        <v>150</v>
      </c>
      <c r="F897" s="530" t="s">
        <v>153</v>
      </c>
      <c r="G897" s="530" t="s">
        <v>223</v>
      </c>
      <c r="H897" s="530"/>
      <c r="I897" s="530"/>
      <c r="J897" s="530"/>
      <c r="K897" s="530"/>
      <c r="L897" s="530"/>
      <c r="M897" s="530"/>
      <c r="N897" s="530"/>
      <c r="O897" s="530"/>
      <c r="P897" s="530"/>
      <c r="Q897" s="530"/>
      <c r="R897" s="530"/>
      <c r="S897" s="530"/>
      <c r="T897" s="530">
        <v>285</v>
      </c>
      <c r="U897" s="530" t="s">
        <v>149</v>
      </c>
    </row>
    <row r="898" spans="1:21" ht="13.8" x14ac:dyDescent="0.3">
      <c r="A898" s="530" t="str">
        <f t="shared" si="26"/>
        <v>Gwynedd.2022.Accommodation - Establishments.Serviced Accommodation 4</v>
      </c>
      <c r="B898" s="530" t="s">
        <v>219</v>
      </c>
      <c r="C898" s="530" t="str">
        <f t="shared" si="27"/>
        <v>2022.Accommodation - Establishments.Serviced Accommodation 4</v>
      </c>
      <c r="D898" s="530" t="s">
        <v>242</v>
      </c>
      <c r="E898" s="530" t="s">
        <v>150</v>
      </c>
      <c r="F898" s="530" t="s">
        <v>154</v>
      </c>
      <c r="G898" s="530" t="s">
        <v>224</v>
      </c>
      <c r="H898" s="530"/>
      <c r="I898" s="530"/>
      <c r="J898" s="530"/>
      <c r="K898" s="530"/>
      <c r="L898" s="530"/>
      <c r="M898" s="530"/>
      <c r="N898" s="530"/>
      <c r="O898" s="530"/>
      <c r="P898" s="530"/>
      <c r="Q898" s="530"/>
      <c r="R898" s="530"/>
      <c r="S898" s="530"/>
      <c r="T898" s="530" t="s">
        <v>224</v>
      </c>
      <c r="U898" s="530" t="s">
        <v>149</v>
      </c>
    </row>
    <row r="899" spans="1:21" ht="13.8" x14ac:dyDescent="0.3">
      <c r="A899" s="530" t="str">
        <f t="shared" si="26"/>
        <v>Gwynedd.2022.Accommodation - Establishments.Serviced Accommodation 5</v>
      </c>
      <c r="B899" s="530" t="s">
        <v>219</v>
      </c>
      <c r="C899" s="530" t="str">
        <f t="shared" si="27"/>
        <v>2022.Accommodation - Establishments.Serviced Accommodation 5</v>
      </c>
      <c r="D899" s="530" t="s">
        <v>242</v>
      </c>
      <c r="E899" s="530" t="s">
        <v>150</v>
      </c>
      <c r="F899" s="530" t="s">
        <v>155</v>
      </c>
      <c r="G899" s="530" t="s">
        <v>224</v>
      </c>
      <c r="H899" s="530"/>
      <c r="I899" s="530"/>
      <c r="J899" s="530"/>
      <c r="K899" s="530"/>
      <c r="L899" s="530"/>
      <c r="M899" s="530"/>
      <c r="N899" s="530"/>
      <c r="O899" s="530"/>
      <c r="P899" s="530"/>
      <c r="Q899" s="530"/>
      <c r="R899" s="530"/>
      <c r="S899" s="530"/>
      <c r="T899" s="530" t="s">
        <v>224</v>
      </c>
      <c r="U899" s="530" t="s">
        <v>149</v>
      </c>
    </row>
    <row r="900" spans="1:21" ht="15" customHeight="1" x14ac:dyDescent="0.3">
      <c r="A900" s="530" t="str">
        <f t="shared" si="26"/>
        <v>Gwynedd.2022.Accommodation - Establishments.Serviced Accommodation Total</v>
      </c>
      <c r="B900" s="530" t="s">
        <v>219</v>
      </c>
      <c r="C900" s="530" t="str">
        <f t="shared" si="27"/>
        <v>2022.Accommodation - Establishments.Serviced Accommodation Total</v>
      </c>
      <c r="D900" s="530" t="s">
        <v>242</v>
      </c>
      <c r="E900" s="530" t="s">
        <v>150</v>
      </c>
      <c r="F900" s="530" t="s">
        <v>161</v>
      </c>
      <c r="G900" s="530" t="s">
        <v>225</v>
      </c>
      <c r="H900" s="530"/>
      <c r="I900" s="530"/>
      <c r="J900" s="530"/>
      <c r="K900" s="530"/>
      <c r="L900" s="530"/>
      <c r="M900" s="530"/>
      <c r="N900" s="530"/>
      <c r="O900" s="530"/>
      <c r="P900" s="530"/>
      <c r="Q900" s="530"/>
      <c r="R900" s="530"/>
      <c r="S900" s="530"/>
      <c r="T900" s="530">
        <v>345</v>
      </c>
      <c r="U900" s="530" t="s">
        <v>149</v>
      </c>
    </row>
    <row r="901" spans="1:21" ht="15" customHeight="1" x14ac:dyDescent="0.3">
      <c r="A901" s="530" t="str">
        <f t="shared" ref="A901:A913" si="28">B901&amp;"."&amp;D901&amp;"."&amp;E901&amp;"."&amp;F901</f>
        <v>Gwynedd.2022.Accommodation - Establishments.Non-Serviced Accommodation 1</v>
      </c>
      <c r="B901" s="530" t="s">
        <v>219</v>
      </c>
      <c r="C901" s="530" t="str">
        <f t="shared" ref="C901:C913" si="29">D901&amp;"."&amp;E901&amp;"."&amp;F901</f>
        <v>2022.Accommodation - Establishments.Non-Serviced Accommodation 1</v>
      </c>
      <c r="D901" s="530" t="s">
        <v>242</v>
      </c>
      <c r="E901" s="530" t="s">
        <v>150</v>
      </c>
      <c r="F901" s="530" t="s">
        <v>156</v>
      </c>
      <c r="G901" s="530" t="s">
        <v>226</v>
      </c>
      <c r="H901" s="530"/>
      <c r="I901" s="530"/>
      <c r="J901" s="530"/>
      <c r="K901" s="530"/>
      <c r="L901" s="530"/>
      <c r="M901" s="530"/>
      <c r="N901" s="530"/>
      <c r="O901" s="530"/>
      <c r="P901" s="530"/>
      <c r="Q901" s="530"/>
      <c r="R901" s="530"/>
      <c r="S901" s="530"/>
      <c r="T901" s="530">
        <v>2477</v>
      </c>
      <c r="U901" s="530" t="s">
        <v>149</v>
      </c>
    </row>
    <row r="902" spans="1:21" ht="15" customHeight="1" x14ac:dyDescent="0.3">
      <c r="A902" s="530" t="str">
        <f t="shared" si="28"/>
        <v>Gwynedd.2022.Accommodation - Establishments.Non-Serviced Accommodation 2</v>
      </c>
      <c r="B902" s="530" t="s">
        <v>219</v>
      </c>
      <c r="C902" s="530" t="str">
        <f t="shared" si="29"/>
        <v>2022.Accommodation - Establishments.Non-Serviced Accommodation 2</v>
      </c>
      <c r="D902" s="530" t="s">
        <v>242</v>
      </c>
      <c r="E902" s="530" t="s">
        <v>150</v>
      </c>
      <c r="F902" s="530" t="s">
        <v>157</v>
      </c>
      <c r="G902" s="530" t="s">
        <v>227</v>
      </c>
      <c r="H902" s="530"/>
      <c r="I902" s="530"/>
      <c r="J902" s="530"/>
      <c r="K902" s="530"/>
      <c r="L902" s="530"/>
      <c r="M902" s="530"/>
      <c r="N902" s="530"/>
      <c r="O902" s="530"/>
      <c r="P902" s="530"/>
      <c r="Q902" s="530"/>
      <c r="R902" s="530"/>
      <c r="S902" s="530"/>
      <c r="T902" s="530">
        <v>133</v>
      </c>
      <c r="U902" s="530" t="s">
        <v>149</v>
      </c>
    </row>
    <row r="903" spans="1:21" ht="15" customHeight="1" x14ac:dyDescent="0.3">
      <c r="A903" s="530" t="str">
        <f t="shared" si="28"/>
        <v>Gwynedd.2022.Accommodation - Establishments.Non-Serviced Accommodation 3</v>
      </c>
      <c r="B903" s="530" t="s">
        <v>219</v>
      </c>
      <c r="C903" s="530" t="str">
        <f t="shared" si="29"/>
        <v>2022.Accommodation - Establishments.Non-Serviced Accommodation 3</v>
      </c>
      <c r="D903" s="530" t="s">
        <v>242</v>
      </c>
      <c r="E903" s="530" t="s">
        <v>150</v>
      </c>
      <c r="F903" s="530" t="s">
        <v>158</v>
      </c>
      <c r="G903" s="530" t="s">
        <v>228</v>
      </c>
      <c r="H903" s="530"/>
      <c r="I903" s="530"/>
      <c r="J903" s="530"/>
      <c r="K903" s="530"/>
      <c r="L903" s="530"/>
      <c r="M903" s="530"/>
      <c r="N903" s="530"/>
      <c r="O903" s="530"/>
      <c r="P903" s="530"/>
      <c r="Q903" s="530"/>
      <c r="R903" s="530"/>
      <c r="S903" s="530"/>
      <c r="T903" s="530">
        <v>220</v>
      </c>
      <c r="U903" s="530" t="s">
        <v>149</v>
      </c>
    </row>
    <row r="904" spans="1:21" ht="15" customHeight="1" x14ac:dyDescent="0.3">
      <c r="A904" s="530" t="str">
        <f t="shared" si="28"/>
        <v>Gwynedd.2022.Accommodation - Establishments.Non-Serviced Accommodation 4</v>
      </c>
      <c r="B904" s="530" t="s">
        <v>219</v>
      </c>
      <c r="C904" s="530" t="str">
        <f t="shared" si="29"/>
        <v>2022.Accommodation - Establishments.Non-Serviced Accommodation 4</v>
      </c>
      <c r="D904" s="530" t="s">
        <v>242</v>
      </c>
      <c r="E904" s="530" t="s">
        <v>150</v>
      </c>
      <c r="F904" s="530" t="s">
        <v>159</v>
      </c>
      <c r="G904" s="530" t="s">
        <v>229</v>
      </c>
      <c r="H904" s="530"/>
      <c r="I904" s="530"/>
      <c r="J904" s="530"/>
      <c r="K904" s="530"/>
      <c r="L904" s="530"/>
      <c r="M904" s="530"/>
      <c r="N904" s="530"/>
      <c r="O904" s="530"/>
      <c r="P904" s="530"/>
      <c r="Q904" s="530"/>
      <c r="R904" s="530"/>
      <c r="S904" s="530"/>
      <c r="T904" s="530">
        <v>0</v>
      </c>
      <c r="U904" s="530" t="s">
        <v>149</v>
      </c>
    </row>
    <row r="905" spans="1:21" ht="15" customHeight="1" x14ac:dyDescent="0.3">
      <c r="A905" s="530" t="str">
        <f t="shared" si="28"/>
        <v>Gwynedd.2022.Accommodation - Establishments.Non-Serviced Accommodation 5</v>
      </c>
      <c r="B905" s="530" t="s">
        <v>219</v>
      </c>
      <c r="C905" s="530" t="str">
        <f t="shared" si="29"/>
        <v>2022.Accommodation - Establishments.Non-Serviced Accommodation 5</v>
      </c>
      <c r="D905" s="530" t="s">
        <v>242</v>
      </c>
      <c r="E905" s="530" t="s">
        <v>150</v>
      </c>
      <c r="F905" s="530" t="s">
        <v>160</v>
      </c>
      <c r="G905" s="530" t="s">
        <v>237</v>
      </c>
      <c r="H905" s="530"/>
      <c r="I905" s="530"/>
      <c r="J905" s="530"/>
      <c r="K905" s="530"/>
      <c r="L905" s="530"/>
      <c r="M905" s="530"/>
      <c r="N905" s="530"/>
      <c r="O905" s="530"/>
      <c r="P905" s="530"/>
      <c r="Q905" s="530"/>
      <c r="R905" s="530"/>
      <c r="S905" s="530"/>
      <c r="T905" s="530">
        <v>0</v>
      </c>
      <c r="U905" s="530" t="s">
        <v>149</v>
      </c>
    </row>
    <row r="906" spans="1:21" ht="15" customHeight="1" x14ac:dyDescent="0.3">
      <c r="A906" s="530" t="str">
        <f t="shared" si="28"/>
        <v>Gwynedd.2022.Accommodation - Establishments.Non-Serviced Accommodation Total</v>
      </c>
      <c r="B906" s="530" t="s">
        <v>219</v>
      </c>
      <c r="C906" s="530" t="str">
        <f t="shared" si="29"/>
        <v>2022.Accommodation - Establishments.Non-Serviced Accommodation Total</v>
      </c>
      <c r="D906" s="530" t="s">
        <v>242</v>
      </c>
      <c r="E906" s="530" t="s">
        <v>150</v>
      </c>
      <c r="F906" s="530" t="s">
        <v>162</v>
      </c>
      <c r="G906" s="530" t="s">
        <v>230</v>
      </c>
      <c r="H906" s="530"/>
      <c r="I906" s="530"/>
      <c r="J906" s="530"/>
      <c r="K906" s="530"/>
      <c r="L906" s="530"/>
      <c r="M906" s="530"/>
      <c r="N906" s="530"/>
      <c r="O906" s="530"/>
      <c r="P906" s="530"/>
      <c r="Q906" s="530"/>
      <c r="R906" s="530"/>
      <c r="S906" s="530"/>
      <c r="T906" s="530">
        <v>2830</v>
      </c>
      <c r="U906" s="530" t="s">
        <v>149</v>
      </c>
    </row>
    <row r="907" spans="1:21" ht="15" customHeight="1" x14ac:dyDescent="0.3">
      <c r="A907" s="530" t="str">
        <f t="shared" si="28"/>
        <v>Gwynedd.2022.Accommodation - Establishments.All Accommodation Types</v>
      </c>
      <c r="B907" s="530" t="s">
        <v>219</v>
      </c>
      <c r="C907" s="530" t="str">
        <f t="shared" si="29"/>
        <v>2022.Accommodation - Establishments.All Accommodation Types</v>
      </c>
      <c r="D907" s="530" t="s">
        <v>242</v>
      </c>
      <c r="E907" s="530" t="s">
        <v>150</v>
      </c>
      <c r="F907" s="530" t="s">
        <v>163</v>
      </c>
      <c r="G907" s="530" t="s">
        <v>38</v>
      </c>
      <c r="H907" s="530"/>
      <c r="I907" s="530"/>
      <c r="J907" s="530"/>
      <c r="K907" s="530"/>
      <c r="L907" s="530"/>
      <c r="M907" s="530"/>
      <c r="N907" s="530"/>
      <c r="O907" s="530"/>
      <c r="P907" s="530"/>
      <c r="Q907" s="530"/>
      <c r="R907" s="530"/>
      <c r="S907" s="530"/>
      <c r="T907" s="530">
        <v>3175</v>
      </c>
      <c r="U907" s="530" t="s">
        <v>149</v>
      </c>
    </row>
    <row r="908" spans="1:21" ht="13.8" x14ac:dyDescent="0.3">
      <c r="A908" s="530" t="str">
        <f t="shared" si="28"/>
        <v>Gwynedd.2022.Accommodation - Bed Spaces.Serviced Accommodation 1</v>
      </c>
      <c r="B908" s="530" t="s">
        <v>219</v>
      </c>
      <c r="C908" s="530" t="str">
        <f t="shared" si="29"/>
        <v>2022.Accommodation - Bed Spaces.Serviced Accommodation 1</v>
      </c>
      <c r="D908" s="530" t="s">
        <v>242</v>
      </c>
      <c r="E908" s="530" t="s">
        <v>164</v>
      </c>
      <c r="F908" s="530" t="s">
        <v>151</v>
      </c>
      <c r="G908" s="530" t="s">
        <v>221</v>
      </c>
      <c r="H908" s="530"/>
      <c r="I908" s="530"/>
      <c r="J908" s="530"/>
      <c r="K908" s="530"/>
      <c r="L908" s="530"/>
      <c r="M908" s="530"/>
      <c r="N908" s="530"/>
      <c r="O908" s="530"/>
      <c r="P908" s="530"/>
      <c r="Q908" s="530"/>
      <c r="R908" s="530"/>
      <c r="S908" s="530"/>
      <c r="T908" s="530">
        <v>1823</v>
      </c>
      <c r="U908" s="530" t="s">
        <v>58</v>
      </c>
    </row>
    <row r="909" spans="1:21" ht="13.8" x14ac:dyDescent="0.3">
      <c r="A909" s="530" t="str">
        <f t="shared" si="28"/>
        <v>Gwynedd.2022.Accommodation - Bed Spaces.Serviced Accommodation 2</v>
      </c>
      <c r="B909" s="530" t="s">
        <v>219</v>
      </c>
      <c r="C909" s="530" t="str">
        <f t="shared" si="29"/>
        <v>2022.Accommodation - Bed Spaces.Serviced Accommodation 2</v>
      </c>
      <c r="D909" s="530" t="s">
        <v>242</v>
      </c>
      <c r="E909" s="530" t="s">
        <v>164</v>
      </c>
      <c r="F909" s="530" t="s">
        <v>152</v>
      </c>
      <c r="G909" s="530" t="s">
        <v>222</v>
      </c>
      <c r="H909" s="530"/>
      <c r="I909" s="530"/>
      <c r="J909" s="530"/>
      <c r="K909" s="530"/>
      <c r="L909" s="530"/>
      <c r="M909" s="530"/>
      <c r="N909" s="530"/>
      <c r="O909" s="530"/>
      <c r="P909" s="530"/>
      <c r="Q909" s="530"/>
      <c r="R909" s="530"/>
      <c r="S909" s="530"/>
      <c r="T909" s="530">
        <v>1770</v>
      </c>
      <c r="U909" s="530" t="s">
        <v>58</v>
      </c>
    </row>
    <row r="910" spans="1:21" ht="13.8" x14ac:dyDescent="0.3">
      <c r="A910" s="530" t="str">
        <f t="shared" si="28"/>
        <v>Gwynedd.2022.Accommodation - Bed Spaces.Serviced Accommodation 3</v>
      </c>
      <c r="B910" s="530" t="s">
        <v>219</v>
      </c>
      <c r="C910" s="530" t="str">
        <f t="shared" si="29"/>
        <v>2022.Accommodation - Bed Spaces.Serviced Accommodation 3</v>
      </c>
      <c r="D910" s="530" t="s">
        <v>242</v>
      </c>
      <c r="E910" s="530" t="s">
        <v>164</v>
      </c>
      <c r="F910" s="530" t="s">
        <v>153</v>
      </c>
      <c r="G910" s="530" t="s">
        <v>223</v>
      </c>
      <c r="H910" s="530"/>
      <c r="I910" s="530"/>
      <c r="J910" s="530"/>
      <c r="K910" s="530"/>
      <c r="L910" s="530"/>
      <c r="M910" s="530"/>
      <c r="N910" s="530"/>
      <c r="O910" s="530"/>
      <c r="P910" s="530"/>
      <c r="Q910" s="530"/>
      <c r="R910" s="530"/>
      <c r="S910" s="530"/>
      <c r="T910" s="530">
        <v>2783</v>
      </c>
      <c r="U910" s="530" t="s">
        <v>58</v>
      </c>
    </row>
    <row r="911" spans="1:21" ht="13.8" x14ac:dyDescent="0.3">
      <c r="A911" s="530" t="str">
        <f t="shared" si="28"/>
        <v>Gwynedd.2022.Accommodation - Bed Spaces.Serviced Accommodation 4</v>
      </c>
      <c r="B911" s="530" t="s">
        <v>219</v>
      </c>
      <c r="C911" s="530" t="str">
        <f t="shared" si="29"/>
        <v>2022.Accommodation - Bed Spaces.Serviced Accommodation 4</v>
      </c>
      <c r="D911" s="530" t="s">
        <v>242</v>
      </c>
      <c r="E911" s="530" t="s">
        <v>164</v>
      </c>
      <c r="F911" s="530" t="s">
        <v>154</v>
      </c>
      <c r="G911" s="530" t="s">
        <v>224</v>
      </c>
      <c r="H911" s="530"/>
      <c r="I911" s="530"/>
      <c r="J911" s="530"/>
      <c r="K911" s="530"/>
      <c r="L911" s="530"/>
      <c r="M911" s="530"/>
      <c r="N911" s="530"/>
      <c r="O911" s="530"/>
      <c r="P911" s="530"/>
      <c r="Q911" s="530"/>
      <c r="R911" s="530"/>
      <c r="S911" s="530"/>
      <c r="T911" s="530" t="s">
        <v>224</v>
      </c>
      <c r="U911" s="530" t="s">
        <v>58</v>
      </c>
    </row>
    <row r="912" spans="1:21" ht="13.8" x14ac:dyDescent="0.3">
      <c r="A912" s="530" t="str">
        <f t="shared" si="28"/>
        <v>Gwynedd.2022.Accommodation - Bed Spaces.Serviced Accommodation 5</v>
      </c>
      <c r="B912" s="530" t="s">
        <v>219</v>
      </c>
      <c r="C912" s="530" t="str">
        <f t="shared" si="29"/>
        <v>2022.Accommodation - Bed Spaces.Serviced Accommodation 5</v>
      </c>
      <c r="D912" s="530" t="s">
        <v>242</v>
      </c>
      <c r="E912" s="530" t="s">
        <v>164</v>
      </c>
      <c r="F912" s="530" t="s">
        <v>155</v>
      </c>
      <c r="G912" s="530" t="s">
        <v>224</v>
      </c>
      <c r="H912" s="530"/>
      <c r="I912" s="530"/>
      <c r="J912" s="530"/>
      <c r="K912" s="530"/>
      <c r="L912" s="530"/>
      <c r="M912" s="530"/>
      <c r="N912" s="530"/>
      <c r="O912" s="530"/>
      <c r="P912" s="530"/>
      <c r="Q912" s="530"/>
      <c r="R912" s="530"/>
      <c r="S912" s="530"/>
      <c r="T912" s="530" t="s">
        <v>224</v>
      </c>
      <c r="U912" s="530" t="s">
        <v>58</v>
      </c>
    </row>
    <row r="913" spans="1:21" ht="13.8" x14ac:dyDescent="0.3">
      <c r="A913" s="530" t="str">
        <f t="shared" si="28"/>
        <v>Gwynedd.2022.Accommodation - Bed Spaces.Serviced Accommodation Total</v>
      </c>
      <c r="B913" s="530" t="s">
        <v>219</v>
      </c>
      <c r="C913" s="530" t="str">
        <f t="shared" si="29"/>
        <v>2022.Accommodation - Bed Spaces.Serviced Accommodation Total</v>
      </c>
      <c r="D913" s="530" t="s">
        <v>242</v>
      </c>
      <c r="E913" s="530" t="s">
        <v>164</v>
      </c>
      <c r="F913" s="530" t="s">
        <v>161</v>
      </c>
      <c r="G913" s="530" t="s">
        <v>225</v>
      </c>
      <c r="H913" s="530"/>
      <c r="I913" s="530"/>
      <c r="J913" s="530"/>
      <c r="K913" s="530"/>
      <c r="L913" s="530"/>
      <c r="M913" s="530"/>
      <c r="N913" s="530"/>
      <c r="O913" s="530"/>
      <c r="P913" s="530"/>
      <c r="Q913" s="530"/>
      <c r="R913" s="530"/>
      <c r="S913" s="530"/>
      <c r="T913" s="530">
        <v>6376</v>
      </c>
      <c r="U913" s="530" t="s">
        <v>58</v>
      </c>
    </row>
    <row r="914" spans="1:21" ht="13.8" x14ac:dyDescent="0.3">
      <c r="A914" s="530" t="str">
        <f t="shared" ref="A914:A926" si="30">B914&amp;"."&amp;D914&amp;"."&amp;E914&amp;"."&amp;F914</f>
        <v>Gwynedd.2022.Accommodation - Bed Spaces.Non-Serviced Accommodation 1</v>
      </c>
      <c r="B914" s="530" t="s">
        <v>219</v>
      </c>
      <c r="C914" s="530" t="str">
        <f t="shared" ref="C914:C926" si="31">D914&amp;"."&amp;E914&amp;"."&amp;F914</f>
        <v>2022.Accommodation - Bed Spaces.Non-Serviced Accommodation 1</v>
      </c>
      <c r="D914" s="530" t="s">
        <v>242</v>
      </c>
      <c r="E914" s="530" t="s">
        <v>164</v>
      </c>
      <c r="F914" s="530" t="s">
        <v>156</v>
      </c>
      <c r="G914" s="530" t="s">
        <v>226</v>
      </c>
      <c r="H914" s="530"/>
      <c r="I914" s="530"/>
      <c r="J914" s="530"/>
      <c r="K914" s="530"/>
      <c r="L914" s="530"/>
      <c r="M914" s="530"/>
      <c r="N914" s="530"/>
      <c r="O914" s="530"/>
      <c r="P914" s="530"/>
      <c r="Q914" s="530"/>
      <c r="R914" s="530"/>
      <c r="S914" s="530"/>
      <c r="T914" s="530">
        <v>17560</v>
      </c>
      <c r="U914" s="530" t="s">
        <v>58</v>
      </c>
    </row>
    <row r="915" spans="1:21" ht="13.8" x14ac:dyDescent="0.3">
      <c r="A915" s="530" t="str">
        <f t="shared" si="30"/>
        <v>Gwynedd.2022.Accommodation - Bed Spaces.Non-Serviced Accommodation 2</v>
      </c>
      <c r="B915" s="530" t="s">
        <v>219</v>
      </c>
      <c r="C915" s="530" t="str">
        <f t="shared" si="31"/>
        <v>2022.Accommodation - Bed Spaces.Non-Serviced Accommodation 2</v>
      </c>
      <c r="D915" s="530" t="s">
        <v>242</v>
      </c>
      <c r="E915" s="530" t="s">
        <v>164</v>
      </c>
      <c r="F915" s="530" t="s">
        <v>157</v>
      </c>
      <c r="G915" s="530" t="s">
        <v>227</v>
      </c>
      <c r="H915" s="530"/>
      <c r="I915" s="530"/>
      <c r="J915" s="530"/>
      <c r="K915" s="530"/>
      <c r="L915" s="530"/>
      <c r="M915" s="530"/>
      <c r="N915" s="530"/>
      <c r="O915" s="530"/>
      <c r="P915" s="530"/>
      <c r="Q915" s="530"/>
      <c r="R915" s="530"/>
      <c r="S915" s="530"/>
      <c r="T915" s="530">
        <v>8160.642722117198</v>
      </c>
      <c r="U915" s="530" t="s">
        <v>58</v>
      </c>
    </row>
    <row r="916" spans="1:21" ht="13.8" x14ac:dyDescent="0.3">
      <c r="A916" s="530" t="str">
        <f t="shared" si="30"/>
        <v>Gwynedd.2022.Accommodation - Bed Spaces.Non-Serviced Accommodation 3</v>
      </c>
      <c r="B916" s="530" t="s">
        <v>219</v>
      </c>
      <c r="C916" s="530" t="str">
        <f t="shared" si="31"/>
        <v>2022.Accommodation - Bed Spaces.Non-Serviced Accommodation 3</v>
      </c>
      <c r="D916" s="530" t="s">
        <v>242</v>
      </c>
      <c r="E916" s="530" t="s">
        <v>164</v>
      </c>
      <c r="F916" s="530" t="s">
        <v>158</v>
      </c>
      <c r="G916" s="530" t="s">
        <v>228</v>
      </c>
      <c r="H916" s="530"/>
      <c r="I916" s="530"/>
      <c r="J916" s="530"/>
      <c r="K916" s="530"/>
      <c r="L916" s="530"/>
      <c r="M916" s="530"/>
      <c r="N916" s="530"/>
      <c r="O916" s="530"/>
      <c r="P916" s="530"/>
      <c r="Q916" s="530"/>
      <c r="R916" s="530"/>
      <c r="S916" s="530"/>
      <c r="T916" s="530">
        <v>25752</v>
      </c>
      <c r="U916" s="530" t="s">
        <v>58</v>
      </c>
    </row>
    <row r="917" spans="1:21" ht="13.8" x14ac:dyDescent="0.3">
      <c r="A917" s="530" t="str">
        <f t="shared" si="30"/>
        <v>Gwynedd.2022.Accommodation - Bed Spaces.Non-Serviced Accommodation 4</v>
      </c>
      <c r="B917" s="530" t="s">
        <v>219</v>
      </c>
      <c r="C917" s="530" t="str">
        <f t="shared" si="31"/>
        <v>2022.Accommodation - Bed Spaces.Non-Serviced Accommodation 4</v>
      </c>
      <c r="D917" s="530" t="s">
        <v>242</v>
      </c>
      <c r="E917" s="530" t="s">
        <v>164</v>
      </c>
      <c r="F917" s="530" t="s">
        <v>159</v>
      </c>
      <c r="G917" s="530" t="s">
        <v>229</v>
      </c>
      <c r="H917" s="530"/>
      <c r="I917" s="530"/>
      <c r="J917" s="530"/>
      <c r="K917" s="530"/>
      <c r="L917" s="530"/>
      <c r="M917" s="530"/>
      <c r="N917" s="530"/>
      <c r="O917" s="530"/>
      <c r="P917" s="530"/>
      <c r="Q917" s="530"/>
      <c r="R917" s="530"/>
      <c r="S917" s="530"/>
      <c r="T917" s="530">
        <v>45088.283059084315</v>
      </c>
      <c r="U917" s="530" t="s">
        <v>58</v>
      </c>
    </row>
    <row r="918" spans="1:21" ht="13.8" x14ac:dyDescent="0.3">
      <c r="A918" s="530" t="str">
        <f t="shared" si="30"/>
        <v>Gwynedd.2022.Accommodation - Bed Spaces.Non-Serviced Accommodation 5</v>
      </c>
      <c r="B918" s="530" t="s">
        <v>219</v>
      </c>
      <c r="C918" s="530" t="str">
        <f t="shared" si="31"/>
        <v>2022.Accommodation - Bed Spaces.Non-Serviced Accommodation 5</v>
      </c>
      <c r="D918" s="530" t="s">
        <v>242</v>
      </c>
      <c r="E918" s="530" t="s">
        <v>164</v>
      </c>
      <c r="F918" s="530" t="s">
        <v>160</v>
      </c>
      <c r="G918" s="530" t="s">
        <v>237</v>
      </c>
      <c r="H918" s="530"/>
      <c r="I918" s="530"/>
      <c r="J918" s="530"/>
      <c r="K918" s="530"/>
      <c r="L918" s="530"/>
      <c r="M918" s="530"/>
      <c r="N918" s="530"/>
      <c r="O918" s="530"/>
      <c r="P918" s="530"/>
      <c r="Q918" s="530"/>
      <c r="R918" s="530"/>
      <c r="S918" s="530"/>
      <c r="T918" s="530">
        <v>9294.2806200542909</v>
      </c>
      <c r="U918" s="530" t="s">
        <v>58</v>
      </c>
    </row>
    <row r="919" spans="1:21" ht="13.8" x14ac:dyDescent="0.3">
      <c r="A919" s="530" t="str">
        <f t="shared" si="30"/>
        <v>Gwynedd.2022.Accommodation - Bed Spaces.Non-Serviced Accommodation Total</v>
      </c>
      <c r="B919" s="530" t="s">
        <v>219</v>
      </c>
      <c r="C919" s="530" t="str">
        <f t="shared" si="31"/>
        <v>2022.Accommodation - Bed Spaces.Non-Serviced Accommodation Total</v>
      </c>
      <c r="D919" s="530" t="s">
        <v>242</v>
      </c>
      <c r="E919" s="530" t="s">
        <v>164</v>
      </c>
      <c r="F919" s="530" t="s">
        <v>162</v>
      </c>
      <c r="G919" s="530" t="s">
        <v>230</v>
      </c>
      <c r="H919" s="530"/>
      <c r="I919" s="530"/>
      <c r="J919" s="530"/>
      <c r="K919" s="530"/>
      <c r="L919" s="530"/>
      <c r="M919" s="530"/>
      <c r="N919" s="530"/>
      <c r="O919" s="530"/>
      <c r="P919" s="530"/>
      <c r="Q919" s="530"/>
      <c r="R919" s="530"/>
      <c r="S919" s="530"/>
      <c r="T919" s="530">
        <v>105855.2064012558</v>
      </c>
      <c r="U919" s="530" t="s">
        <v>58</v>
      </c>
    </row>
    <row r="920" spans="1:21" ht="13.8" x14ac:dyDescent="0.3">
      <c r="A920" s="530" t="str">
        <f t="shared" si="30"/>
        <v>Gwynedd.2022.Accommodation - Bed Spaces.All Accommodation Types</v>
      </c>
      <c r="B920" s="530" t="s">
        <v>219</v>
      </c>
      <c r="C920" s="530" t="str">
        <f t="shared" si="31"/>
        <v>2022.Accommodation - Bed Spaces.All Accommodation Types</v>
      </c>
      <c r="D920" s="530" t="s">
        <v>242</v>
      </c>
      <c r="E920" s="530" t="s">
        <v>164</v>
      </c>
      <c r="F920" s="530" t="s">
        <v>163</v>
      </c>
      <c r="G920" s="530" t="s">
        <v>38</v>
      </c>
      <c r="H920" s="530"/>
      <c r="I920" s="530"/>
      <c r="J920" s="530"/>
      <c r="K920" s="530"/>
      <c r="L920" s="530"/>
      <c r="M920" s="530"/>
      <c r="N920" s="530"/>
      <c r="O920" s="530"/>
      <c r="P920" s="530"/>
      <c r="Q920" s="530"/>
      <c r="R920" s="530"/>
      <c r="S920" s="530"/>
      <c r="T920" s="530">
        <v>112231.2064012558</v>
      </c>
      <c r="U920" s="530" t="s">
        <v>58</v>
      </c>
    </row>
    <row r="921" spans="1:21" ht="12.75" customHeight="1" x14ac:dyDescent="0.3">
      <c r="A921" s="530" t="str">
        <f t="shared" si="30"/>
        <v>Gwynedd.2011.Economic Impact.Staying Visitor</v>
      </c>
      <c r="B921" s="530" t="s">
        <v>219</v>
      </c>
      <c r="C921" s="530" t="str">
        <f t="shared" si="31"/>
        <v>2011.Economic Impact.Staying Visitor</v>
      </c>
      <c r="D921" s="530" t="s">
        <v>220</v>
      </c>
      <c r="E921" s="530" t="s">
        <v>17</v>
      </c>
      <c r="F921" s="530" t="s">
        <v>140</v>
      </c>
      <c r="G921" s="530" t="s">
        <v>140</v>
      </c>
      <c r="H921" s="530">
        <f>SUM(SUMIFS(H:H,$D:$D,$D921,$E:$E,$E921,$F:$F,{"Serviced Accommodation","Non-Serviced Accommodation","SFR"}))</f>
        <v>15130.555275371056</v>
      </c>
      <c r="I921" s="530">
        <f>SUM(SUMIFS(I:I,$D:$D,$D921,$E:$E,$E921,$F:$F,{"Serviced Accommodation","Non-Serviced Accommodation","SFR"}))</f>
        <v>16827.091837609041</v>
      </c>
      <c r="J921" s="530">
        <f>SUM(SUMIFS(J:J,$D:$D,$D921,$E:$E,$E921,$F:$F,{"Serviced Accommodation","Non-Serviced Accommodation","SFR"}))</f>
        <v>17252.910472169944</v>
      </c>
      <c r="K921" s="530">
        <f>SUM(SUMIFS(K:K,$D:$D,$D921,$E:$E,$E921,$F:$F,{"Serviced Accommodation","Non-Serviced Accommodation","SFR"}))</f>
        <v>84309.513823011555</v>
      </c>
      <c r="L921" s="530">
        <f>SUM(SUMIFS(L:L,$D:$D,$D921,$E:$E,$E921,$F:$F,{"Serviced Accommodation","Non-Serviced Accommodation","SFR"}))</f>
        <v>87161.634228634095</v>
      </c>
      <c r="M921" s="530">
        <f>SUM(SUMIFS(M:M,$D:$D,$D921,$E:$E,$E921,$F:$F,{"Serviced Accommodation","Non-Serviced Accommodation","SFR"}))</f>
        <v>95391.439645742299</v>
      </c>
      <c r="N921" s="530">
        <f>SUM(SUMIFS(N:N,$D:$D,$D921,$E:$E,$E921,$F:$F,{"Serviced Accommodation","Non-Serviced Accommodation","SFR"}))</f>
        <v>129108.39467402727</v>
      </c>
      <c r="O921" s="530">
        <f>SUM(SUMIFS(O:O,$D:$D,$D921,$E:$E,$E921,$F:$F,{"Serviced Accommodation","Non-Serviced Accommodation","SFR"}))</f>
        <v>135177.03777840521</v>
      </c>
      <c r="P921" s="530">
        <f>SUM(SUMIFS(P:P,$D:$D,$D921,$E:$E,$E921,$F:$F,{"Serviced Accommodation","Non-Serviced Accommodation","SFR"}))</f>
        <v>97056.763518792184</v>
      </c>
      <c r="Q921" s="530">
        <f>SUM(SUMIFS(Q:Q,$D:$D,$D921,$E:$E,$E921,$F:$F,{"Serviced Accommodation","Non-Serviced Accommodation","SFR"}))</f>
        <v>55059.50359002137</v>
      </c>
      <c r="R921" s="530">
        <f>SUM(SUMIFS(R:R,$D:$D,$D921,$E:$E,$E921,$F:$F,{"Serviced Accommodation","Non-Serviced Accommodation","SFR"}))</f>
        <v>17617.906917696753</v>
      </c>
      <c r="S921" s="530">
        <f>SUM(SUMIFS(S:S,$D:$D,$D921,$E:$E,$E921,$F:$F,{"Serviced Accommodation","Non-Serviced Accommodation","SFR"}))</f>
        <v>16398.069836677929</v>
      </c>
      <c r="T921" s="530">
        <f>SUM(SUMIFS(T:T,$D:$D,$D921,$E:$E,$E921,$F:$F,{"Serviced Accommodation","Non-Serviced Accommodation","SFR"}))</f>
        <v>766490.8215981588</v>
      </c>
      <c r="U921" s="530" t="s">
        <v>57</v>
      </c>
    </row>
    <row r="922" spans="1:21" ht="12.75" customHeight="1" x14ac:dyDescent="0.3">
      <c r="A922" s="530" t="str">
        <f t="shared" si="30"/>
        <v>Gwynedd.2011.Employment.Staying Visitor</v>
      </c>
      <c r="B922" s="530" t="s">
        <v>219</v>
      </c>
      <c r="C922" s="530" t="str">
        <f t="shared" si="31"/>
        <v>2011.Employment.Staying Visitor</v>
      </c>
      <c r="D922" s="530" t="s">
        <v>220</v>
      </c>
      <c r="E922" s="530" t="s">
        <v>20</v>
      </c>
      <c r="F922" s="530" t="s">
        <v>140</v>
      </c>
      <c r="G922" s="530" t="s">
        <v>140</v>
      </c>
      <c r="H922" s="530">
        <f>SUM(SUMIFS(H:H,$D:$D,$D922,$E:$E,$E922,$F:$F,{"Serviced Accommodation","Non-Serviced Accommodation","SFR"}))</f>
        <v>4008.2040054196273</v>
      </c>
      <c r="I922" s="530">
        <f>SUM(SUMIFS(I:I,$D:$D,$D922,$E:$E,$E922,$F:$F,{"Serviced Accommodation","Non-Serviced Accommodation","SFR"}))</f>
        <v>4188.5216890374413</v>
      </c>
      <c r="J922" s="530">
        <f>SUM(SUMIFS(J:J,$D:$D,$D922,$E:$E,$E922,$F:$F,{"Serviced Accommodation","Non-Serviced Accommodation","SFR"}))</f>
        <v>4312.4707883575775</v>
      </c>
      <c r="K922" s="530">
        <f>SUM(SUMIFS(K:K,$D:$D,$D922,$E:$E,$E922,$F:$F,{"Serviced Accommodation","Non-Serviced Accommodation","SFR"}))</f>
        <v>15008.028584488013</v>
      </c>
      <c r="L922" s="530">
        <f>SUM(SUMIFS(L:L,$D:$D,$D922,$E:$E,$E922,$F:$F,{"Serviced Accommodation","Non-Serviced Accommodation","SFR"}))</f>
        <v>15308.9837677095</v>
      </c>
      <c r="M922" s="530">
        <f>SUM(SUMIFS(M:M,$D:$D,$D922,$E:$E,$E922,$F:$F,{"Serviced Accommodation","Non-Serviced Accommodation","SFR"}))</f>
        <v>16355.100516348299</v>
      </c>
      <c r="N922" s="530">
        <f>SUM(SUMIFS(N:N,$D:$D,$D922,$E:$E,$E922,$F:$F,{"Serviced Accommodation","Non-Serviced Accommodation","SFR"}))</f>
        <v>18519.037547328277</v>
      </c>
      <c r="O922" s="530">
        <f>SUM(SUMIFS(O:O,$D:$D,$D922,$E:$E,$E922,$F:$F,{"Serviced Accommodation","Non-Serviced Accommodation","SFR"}))</f>
        <v>19059.01514565164</v>
      </c>
      <c r="P922" s="530">
        <f>SUM(SUMIFS(P:P,$D:$D,$D922,$E:$E,$E922,$F:$F,{"Serviced Accommodation","Non-Serviced Accommodation","SFR"}))</f>
        <v>14978.136602069308</v>
      </c>
      <c r="Q922" s="530">
        <f>SUM(SUMIFS(Q:Q,$D:$D,$D922,$E:$E,$E922,$F:$F,{"Serviced Accommodation","Non-Serviced Accommodation","SFR"}))</f>
        <v>11196.136577513314</v>
      </c>
      <c r="R922" s="530">
        <f>SUM(SUMIFS(R:R,$D:$D,$D922,$E:$E,$E922,$F:$F,{"Serviced Accommodation","Non-Serviced Accommodation","SFR"}))</f>
        <v>4333.3537828419285</v>
      </c>
      <c r="S922" s="530">
        <f>SUM(SUMIFS(S:S,$D:$D,$D922,$E:$E,$E922,$F:$F,{"Serviced Accommodation","Non-Serviced Accommodation","SFR"}))</f>
        <v>4189.6945757791473</v>
      </c>
      <c r="T922" s="530">
        <f>SUM(SUMIFS(T:T,$D:$D,$D922,$E:$E,$E922,$F:$F,{"Serviced Accommodation","Non-Serviced Accommodation","SFR"}))</f>
        <v>10954.723631878673</v>
      </c>
      <c r="U922" s="530" t="s">
        <v>59</v>
      </c>
    </row>
    <row r="923" spans="1:21" ht="12.75" customHeight="1" x14ac:dyDescent="0.3">
      <c r="A923" s="530" t="str">
        <f t="shared" si="30"/>
        <v>Gwynedd.2011.Visitor Days.Staying Visitor</v>
      </c>
      <c r="B923" s="530" t="s">
        <v>219</v>
      </c>
      <c r="C923" s="530" t="str">
        <f t="shared" si="31"/>
        <v>2011.Visitor Days.Staying Visitor</v>
      </c>
      <c r="D923" s="530" t="s">
        <v>220</v>
      </c>
      <c r="E923" s="530" t="s">
        <v>171</v>
      </c>
      <c r="F923" s="530" t="s">
        <v>140</v>
      </c>
      <c r="G923" s="530" t="s">
        <v>140</v>
      </c>
      <c r="H923" s="530">
        <f>SUM(SUMIFS(H:H,$D:$D,$D923,$E:$E,$E923,$F:$F,{"Serviced Accommodation","Non-Serviced Accommodation","SFR"}))</f>
        <v>402.65398039354579</v>
      </c>
      <c r="I923" s="530">
        <f>SUM(SUMIFS(I:I,$D:$D,$D923,$E:$E,$E923,$F:$F,{"Serviced Accommodation","Non-Serviced Accommodation","SFR"}))</f>
        <v>416.1004622790735</v>
      </c>
      <c r="J923" s="530">
        <f>SUM(SUMIFS(J:J,$D:$D,$D923,$E:$E,$E923,$F:$F,{"Serviced Accommodation","Non-Serviced Accommodation","SFR"}))</f>
        <v>449.84964069233865</v>
      </c>
      <c r="K923" s="530">
        <f>SUM(SUMIFS(K:K,$D:$D,$D923,$E:$E,$E923,$F:$F,{"Serviced Accommodation","Non-Serviced Accommodation","SFR"}))</f>
        <v>2095.3581913485323</v>
      </c>
      <c r="L923" s="530">
        <f>SUM(SUMIFS(L:L,$D:$D,$D923,$E:$E,$E923,$F:$F,{"Serviced Accommodation","Non-Serviced Accommodation","SFR"}))</f>
        <v>2200.0060912435861</v>
      </c>
      <c r="M923" s="530">
        <f>SUM(SUMIFS(M:M,$D:$D,$D923,$E:$E,$E923,$F:$F,{"Serviced Accommodation","Non-Serviced Accommodation","SFR"}))</f>
        <v>2361.1655473688179</v>
      </c>
      <c r="N923" s="530">
        <f>SUM(SUMIFS(N:N,$D:$D,$D923,$E:$E,$E923,$F:$F,{"Serviced Accommodation","Non-Serviced Accommodation","SFR"}))</f>
        <v>2871.3940127812184</v>
      </c>
      <c r="O923" s="530">
        <f>SUM(SUMIFS(O:O,$D:$D,$D923,$E:$E,$E923,$F:$F,{"Serviced Accommodation","Non-Serviced Accommodation","SFR"}))</f>
        <v>2991.4474277527092</v>
      </c>
      <c r="P923" s="530">
        <f>SUM(SUMIFS(P:P,$D:$D,$D923,$E:$E,$E923,$F:$F,{"Serviced Accommodation","Non-Serviced Accommodation","SFR"}))</f>
        <v>2110.4350120866306</v>
      </c>
      <c r="Q923" s="530">
        <f>SUM(SUMIFS(Q:Q,$D:$D,$D923,$E:$E,$E923,$F:$F,{"Serviced Accommodation","Non-Serviced Accommodation","SFR"}))</f>
        <v>1428.7532570826843</v>
      </c>
      <c r="R923" s="530">
        <f>SUM(SUMIFS(R:R,$D:$D,$D923,$E:$E,$E923,$F:$F,{"Serviced Accommodation","Non-Serviced Accommodation","SFR"}))</f>
        <v>444.11903710495466</v>
      </c>
      <c r="S923" s="530">
        <f>SUM(SUMIFS(S:S,$D:$D,$D923,$E:$E,$E923,$F:$F,{"Serviced Accommodation","Non-Serviced Accommodation","SFR"}))</f>
        <v>418.33601291612024</v>
      </c>
      <c r="T923" s="530">
        <f>SUM(SUMIFS(T:T,$D:$D,$D923,$E:$E,$E923,$F:$F,{"Serviced Accommodation","Non-Serviced Accommodation","SFR"}))</f>
        <v>18189.618673050216</v>
      </c>
      <c r="U923" s="530" t="s">
        <v>61</v>
      </c>
    </row>
    <row r="924" spans="1:21" ht="12.75" customHeight="1" x14ac:dyDescent="0.3">
      <c r="A924" s="530" t="str">
        <f t="shared" si="30"/>
        <v>Gwynedd.2011.Visitor Numbers.Staying Visitor</v>
      </c>
      <c r="B924" s="530" t="s">
        <v>219</v>
      </c>
      <c r="C924" s="530" t="str">
        <f t="shared" si="31"/>
        <v>2011.Visitor Numbers.Staying Visitor</v>
      </c>
      <c r="D924" s="530" t="s">
        <v>220</v>
      </c>
      <c r="E924" s="530" t="s">
        <v>172</v>
      </c>
      <c r="F924" s="530" t="s">
        <v>140</v>
      </c>
      <c r="G924" s="530" t="s">
        <v>140</v>
      </c>
      <c r="H924" s="530">
        <f>SUM(SUMIFS(H:H,$D:$D,$D924,$E:$E,$E924,$F:$F,{"Serviced Accommodation","Non-Serviced Accommodation","SFR"}))</f>
        <v>136.7309906093592</v>
      </c>
      <c r="I924" s="530">
        <f>SUM(SUMIFS(I:I,$D:$D,$D924,$E:$E,$E924,$F:$F,{"Serviced Accommodation","Non-Serviced Accommodation","SFR"}))</f>
        <v>125.39987419388315</v>
      </c>
      <c r="J924" s="530">
        <f>SUM(SUMIFS(J:J,$D:$D,$D924,$E:$E,$E924,$F:$F,{"Serviced Accommodation","Non-Serviced Accommodation","SFR"}))</f>
        <v>116.34600114508729</v>
      </c>
      <c r="K924" s="530">
        <f>SUM(SUMIFS(K:K,$D:$D,$D924,$E:$E,$E924,$F:$F,{"Serviced Accommodation","Non-Serviced Accommodation","SFR"}))</f>
        <v>388.29057864169221</v>
      </c>
      <c r="L924" s="530">
        <f>SUM(SUMIFS(L:L,$D:$D,$D924,$E:$E,$E924,$F:$F,{"Serviced Accommodation","Non-Serviced Accommodation","SFR"}))</f>
        <v>383.24322813627305</v>
      </c>
      <c r="M924" s="530">
        <f>SUM(SUMIFS(M:M,$D:$D,$D924,$E:$E,$E924,$F:$F,{"Serviced Accommodation","Non-Serviced Accommodation","SFR"}))</f>
        <v>412.50739595023089</v>
      </c>
      <c r="N924" s="530">
        <f>SUM(SUMIFS(N:N,$D:$D,$D924,$E:$E,$E924,$F:$F,{"Serviced Accommodation","Non-Serviced Accommodation","SFR"}))</f>
        <v>495.17500805653583</v>
      </c>
      <c r="O924" s="530">
        <f>SUM(SUMIFS(O:O,$D:$D,$D924,$E:$E,$E924,$F:$F,{"Serviced Accommodation","Non-Serviced Accommodation","SFR"}))</f>
        <v>497.0555937077641</v>
      </c>
      <c r="P924" s="530">
        <f>SUM(SUMIFS(P:P,$D:$D,$D924,$E:$E,$E924,$F:$F,{"Serviced Accommodation","Non-Serviced Accommodation","SFR"}))</f>
        <v>368.83806116488961</v>
      </c>
      <c r="Q924" s="530">
        <f>SUM(SUMIFS(Q:Q,$D:$D,$D924,$E:$E,$E924,$F:$F,{"Serviced Accommodation","Non-Serviced Accommodation","SFR"}))</f>
        <v>262.43875773037166</v>
      </c>
      <c r="R924" s="530">
        <f>SUM(SUMIFS(R:R,$D:$D,$D924,$E:$E,$E924,$F:$F,{"Serviced Accommodation","Non-Serviced Accommodation","SFR"}))</f>
        <v>118.98856169101101</v>
      </c>
      <c r="S924" s="530">
        <f>SUM(SUMIFS(S:S,$D:$D,$D924,$E:$E,$E924,$F:$F,{"Serviced Accommodation","Non-Serviced Accommodation","SFR"}))</f>
        <v>99.786348048717187</v>
      </c>
      <c r="T924" s="530">
        <f>SUM(SUMIFS(T:T,$D:$D,$D924,$E:$E,$E924,$F:$F,{"Serviced Accommodation","Non-Serviced Accommodation","SFR"}))</f>
        <v>3404.8003990758152</v>
      </c>
      <c r="U924" s="530" t="s">
        <v>61</v>
      </c>
    </row>
    <row r="925" spans="1:21" ht="12.75" customHeight="1" x14ac:dyDescent="0.3">
      <c r="A925" s="530" t="str">
        <f t="shared" si="30"/>
        <v>Gwynedd.2011.Vehicle Days.Staying Visitor</v>
      </c>
      <c r="B925" s="530" t="s">
        <v>219</v>
      </c>
      <c r="C925" s="530" t="str">
        <f t="shared" si="31"/>
        <v>2011.Vehicle Days.Staying Visitor</v>
      </c>
      <c r="D925" s="530" t="s">
        <v>220</v>
      </c>
      <c r="E925" s="530" t="s">
        <v>21</v>
      </c>
      <c r="F925" s="530" t="s">
        <v>140</v>
      </c>
      <c r="G925" s="530" t="s">
        <v>140</v>
      </c>
      <c r="H925" s="530">
        <f>SUM(SUMIFS(H:H,$D:$D,$D925,$E:$E,$E925,$F:$F,{"Serviced Accommodation","Non-Serviced Accommodation","SFR"}))</f>
        <v>106.3260579926054</v>
      </c>
      <c r="I925" s="530">
        <f>SUM(SUMIFS(I:I,$D:$D,$D925,$E:$E,$E925,$F:$F,{"Serviced Accommodation","Non-Serviced Accommodation","SFR"}))</f>
        <v>122.68676372424204</v>
      </c>
      <c r="J925" s="530">
        <f>SUM(SUMIFS(J:J,$D:$D,$D925,$E:$E,$E925,$F:$F,{"Serviced Accommodation","Non-Serviced Accommodation","SFR"}))</f>
        <v>122.34419147434635</v>
      </c>
      <c r="K925" s="530">
        <f>SUM(SUMIFS(K:K,$D:$D,$D925,$E:$E,$E925,$F:$F,{"Serviced Accommodation","Non-Serviced Accommodation","SFR"}))</f>
        <v>588.45885146667786</v>
      </c>
      <c r="L925" s="530">
        <f>SUM(SUMIFS(L:L,$D:$D,$D925,$E:$E,$E925,$F:$F,{"Serviced Accommodation","Non-Serviced Accommodation","SFR"}))</f>
        <v>619.36191101264558</v>
      </c>
      <c r="M925" s="530">
        <f>SUM(SUMIFS(M:M,$D:$D,$D925,$E:$E,$E925,$F:$F,{"Serviced Accommodation","Non-Serviced Accommodation","SFR"}))</f>
        <v>671.84127222658356</v>
      </c>
      <c r="N925" s="530">
        <f>SUM(SUMIFS(N:N,$D:$D,$D925,$E:$E,$E925,$F:$F,{"Serviced Accommodation","Non-Serviced Accommodation","SFR"}))</f>
        <v>784.66360455769188</v>
      </c>
      <c r="O925" s="530">
        <f>SUM(SUMIFS(O:O,$D:$D,$D925,$E:$E,$E925,$F:$F,{"Serviced Accommodation","Non-Serviced Accommodation","SFR"}))</f>
        <v>808.98957870771403</v>
      </c>
      <c r="P925" s="530">
        <f>SUM(SUMIFS(P:P,$D:$D,$D925,$E:$E,$E925,$F:$F,{"Serviced Accommodation","Non-Serviced Accommodation","SFR"}))</f>
        <v>592.86225284239526</v>
      </c>
      <c r="Q925" s="530">
        <f>SUM(SUMIFS(Q:Q,$D:$D,$D925,$E:$E,$E925,$F:$F,{"Serviced Accommodation","Non-Serviced Accommodation","SFR"}))</f>
        <v>388.32201932606876</v>
      </c>
      <c r="R925" s="530">
        <f>SUM(SUMIFS(R:R,$D:$D,$D925,$E:$E,$E925,$F:$F,{"Serviced Accommodation","Non-Serviced Accommodation","SFR"}))</f>
        <v>118.73522643735683</v>
      </c>
      <c r="S925" s="530">
        <f>SUM(SUMIFS(S:S,$D:$D,$D925,$E:$E,$E925,$F:$F,{"Serviced Accommodation","Non-Serviced Accommodation","SFR"}))</f>
        <v>104.83072752894415</v>
      </c>
      <c r="T925" s="530">
        <f>SUM(SUMIFS(T:T,$D:$D,$D925,$E:$E,$E925,$F:$F,{"Serviced Accommodation","Non-Serviced Accommodation","SFR"}))</f>
        <v>5029.4224572972726</v>
      </c>
      <c r="U925" s="530" t="s">
        <v>61</v>
      </c>
    </row>
    <row r="926" spans="1:21" ht="12.75" customHeight="1" x14ac:dyDescent="0.3">
      <c r="A926" s="530" t="str">
        <f t="shared" si="30"/>
        <v>Gwynedd.2011.Vehicle Numbers.Staying Visitor</v>
      </c>
      <c r="B926" s="530" t="s">
        <v>219</v>
      </c>
      <c r="C926" s="530" t="str">
        <f t="shared" si="31"/>
        <v>2011.Vehicle Numbers.Staying Visitor</v>
      </c>
      <c r="D926" s="530" t="s">
        <v>220</v>
      </c>
      <c r="E926" s="530" t="s">
        <v>22</v>
      </c>
      <c r="F926" s="530" t="s">
        <v>140</v>
      </c>
      <c r="G926" s="530" t="s">
        <v>140</v>
      </c>
      <c r="H926" s="530">
        <f>SUM(SUMIFS(H:H,$D:$D,$D926,$E:$E,$E926,$F:$F,{"Serviced Accommodation","Non-Serviced Accommodation","SFR"}))</f>
        <v>36.319409415973269</v>
      </c>
      <c r="I926" s="530">
        <f>SUM(SUMIFS(I:I,$D:$D,$D926,$E:$E,$E926,$F:$F,{"Serviced Accommodation","Non-Serviced Accommodation","SFR"}))</f>
        <v>37.829098967893643</v>
      </c>
      <c r="J926" s="530">
        <f>SUM(SUMIFS(J:J,$D:$D,$D926,$E:$E,$E926,$F:$F,{"Serviced Accommodation","Non-Serviced Accommodation","SFR"}))</f>
        <v>33.293025405062508</v>
      </c>
      <c r="K926" s="530">
        <f>SUM(SUMIFS(K:K,$D:$D,$D926,$E:$E,$E926,$F:$F,{"Serviced Accommodation","Non-Serviced Accommodation","SFR"}))</f>
        <v>108.33882565884456</v>
      </c>
      <c r="L926" s="530">
        <f>SUM(SUMIFS(L:L,$D:$D,$D926,$E:$E,$E926,$F:$F,{"Serviced Accommodation","Non-Serviced Accommodation","SFR"}))</f>
        <v>108.22963911970743</v>
      </c>
      <c r="M926" s="530">
        <f>SUM(SUMIFS(M:M,$D:$D,$D926,$E:$E,$E926,$F:$F,{"Serviced Accommodation","Non-Serviced Accommodation","SFR"}))</f>
        <v>117.05622321545879</v>
      </c>
      <c r="N926" s="530">
        <f>SUM(SUMIFS(N:N,$D:$D,$D926,$E:$E,$E926,$F:$F,{"Serviced Accommodation","Non-Serviced Accommodation","SFR"}))</f>
        <v>134.6313808854039</v>
      </c>
      <c r="O926" s="530">
        <f>SUM(SUMIFS(O:O,$D:$D,$D926,$E:$E,$E926,$F:$F,{"Serviced Accommodation","Non-Serviced Accommodation","SFR"}))</f>
        <v>133.85464890430666</v>
      </c>
      <c r="P926" s="530">
        <f>SUM(SUMIFS(P:P,$D:$D,$D926,$E:$E,$E926,$F:$F,{"Serviced Accommodation","Non-Serviced Accommodation","SFR"}))</f>
        <v>102.63663185363427</v>
      </c>
      <c r="Q926" s="530">
        <f>SUM(SUMIFS(Q:Q,$D:$D,$D926,$E:$E,$E926,$F:$F,{"Serviced Accommodation","Non-Serviced Accommodation","SFR"}))</f>
        <v>72.370674826530717</v>
      </c>
      <c r="R926" s="530">
        <f>SUM(SUMIFS(R:R,$D:$D,$D926,$E:$E,$E926,$F:$F,{"Serviced Accommodation","Non-Serviced Accommodation","SFR"}))</f>
        <v>32.512739804510012</v>
      </c>
      <c r="S926" s="530">
        <f>SUM(SUMIFS(S:S,$D:$D,$D926,$E:$E,$E926,$F:$F,{"Serviced Accommodation","Non-Serviced Accommodation","SFR"}))</f>
        <v>25.836179913529641</v>
      </c>
      <c r="T926" s="530">
        <f>SUM(SUMIFS(T:T,$D:$D,$D926,$E:$E,$E926,$F:$F,{"Serviced Accommodation","Non-Serviced Accommodation","SFR"}))</f>
        <v>942.90847797085553</v>
      </c>
      <c r="U926" s="530" t="s">
        <v>61</v>
      </c>
    </row>
    <row r="927" spans="1:21" ht="12.75" customHeight="1" x14ac:dyDescent="0.3">
      <c r="A927" s="530" t="str">
        <f t="shared" ref="A927:A938" si="32">B927&amp;"."&amp;D927&amp;"."&amp;E927&amp;"."&amp;F927</f>
        <v>Gwynedd.2012.Economic Impact.Staying Visitor</v>
      </c>
      <c r="B927" s="530" t="s">
        <v>219</v>
      </c>
      <c r="C927" s="530" t="str">
        <f t="shared" ref="C927:C938" si="33">D927&amp;"."&amp;E927&amp;"."&amp;F927</f>
        <v>2012.Economic Impact.Staying Visitor</v>
      </c>
      <c r="D927" s="530" t="s">
        <v>231</v>
      </c>
      <c r="E927" s="530" t="s">
        <v>17</v>
      </c>
      <c r="F927" s="530" t="s">
        <v>140</v>
      </c>
      <c r="G927" s="530" t="s">
        <v>140</v>
      </c>
      <c r="H927" s="530">
        <f>SUM(SUMIFS(H:H,$D:$D,$D927,$E:$E,$E927,$F:$F,{"Serviced Accommodation","Non-Serviced Accommodation","SFR"}))</f>
        <v>14363.34751775983</v>
      </c>
      <c r="I927" s="530">
        <f>SUM(SUMIFS(I:I,$D:$D,$D927,$E:$E,$E927,$F:$F,{"Serviced Accommodation","Non-Serviced Accommodation","SFR"}))</f>
        <v>14338.335566968834</v>
      </c>
      <c r="J927" s="530">
        <f>SUM(SUMIFS(J:J,$D:$D,$D927,$E:$E,$E927,$F:$F,{"Serviced Accommodation","Non-Serviced Accommodation","SFR"}))</f>
        <v>20864.272357736641</v>
      </c>
      <c r="K927" s="530">
        <f>SUM(SUMIFS(K:K,$D:$D,$D927,$E:$E,$E927,$F:$F,{"Serviced Accommodation","Non-Serviced Accommodation","SFR"}))</f>
        <v>65125.397199424995</v>
      </c>
      <c r="L927" s="530">
        <f>SUM(SUMIFS(L:L,$D:$D,$D927,$E:$E,$E927,$F:$F,{"Serviced Accommodation","Non-Serviced Accommodation","SFR"}))</f>
        <v>67691.951593119942</v>
      </c>
      <c r="M927" s="530">
        <f>SUM(SUMIFS(M:M,$D:$D,$D927,$E:$E,$E927,$F:$F,{"Serviced Accommodation","Non-Serviced Accommodation","SFR"}))</f>
        <v>92503.938731505201</v>
      </c>
      <c r="N927" s="530">
        <f>SUM(SUMIFS(N:N,$D:$D,$D927,$E:$E,$E927,$F:$F,{"Serviced Accommodation","Non-Serviced Accommodation","SFR"}))</f>
        <v>115061.50614621327</v>
      </c>
      <c r="O927" s="530">
        <f>SUM(SUMIFS(O:O,$D:$D,$D927,$E:$E,$E927,$F:$F,{"Serviced Accommodation","Non-Serviced Accommodation","SFR"}))</f>
        <v>132481.18920868414</v>
      </c>
      <c r="P927" s="530">
        <f>SUM(SUMIFS(P:P,$D:$D,$D927,$E:$E,$E927,$F:$F,{"Serviced Accommodation","Non-Serviced Accommodation","SFR"}))</f>
        <v>93688.556711470635</v>
      </c>
      <c r="Q927" s="530">
        <f>SUM(SUMIFS(Q:Q,$D:$D,$D927,$E:$E,$E927,$F:$F,{"Serviced Accommodation","Non-Serviced Accommodation","SFR"}))</f>
        <v>65007.635571178616</v>
      </c>
      <c r="R927" s="530">
        <f>SUM(SUMIFS(R:R,$D:$D,$D927,$E:$E,$E927,$F:$F,{"Serviced Accommodation","Non-Serviced Accommodation","SFR"}))</f>
        <v>16329.529753305595</v>
      </c>
      <c r="S927" s="530">
        <f>SUM(SUMIFS(S:S,$D:$D,$D927,$E:$E,$E927,$F:$F,{"Serviced Accommodation","Non-Serviced Accommodation","SFR"}))</f>
        <v>15467.72551632801</v>
      </c>
      <c r="T927" s="530">
        <f>SUM(SUMIFS(T:T,$D:$D,$D927,$E:$E,$E927,$F:$F,{"Serviced Accommodation","Non-Serviced Accommodation","SFR"}))</f>
        <v>712923.38587369572</v>
      </c>
      <c r="U927" s="530" t="s">
        <v>57</v>
      </c>
    </row>
    <row r="928" spans="1:21" ht="12.75" customHeight="1" x14ac:dyDescent="0.3">
      <c r="A928" s="530" t="str">
        <f t="shared" si="32"/>
        <v>Gwynedd.2012.Employment.Staying Visitor</v>
      </c>
      <c r="B928" s="530" t="s">
        <v>219</v>
      </c>
      <c r="C928" s="530" t="str">
        <f t="shared" si="33"/>
        <v>2012.Employment.Staying Visitor</v>
      </c>
      <c r="D928" s="530" t="s">
        <v>231</v>
      </c>
      <c r="E928" s="530" t="s">
        <v>20</v>
      </c>
      <c r="F928" s="530" t="s">
        <v>140</v>
      </c>
      <c r="G928" s="530" t="s">
        <v>140</v>
      </c>
      <c r="H928" s="530">
        <f>SUM(SUMIFS(H:H,$D:$D,$D928,$E:$E,$E928,$F:$F,{"Serviced Accommodation","Non-Serviced Accommodation","SFR"}))</f>
        <v>3866.8170396052351</v>
      </c>
      <c r="I928" s="530">
        <f>SUM(SUMIFS(I:I,$D:$D,$D928,$E:$E,$E928,$F:$F,{"Serviced Accommodation","Non-Serviced Accommodation","SFR"}))</f>
        <v>3844.964495005554</v>
      </c>
      <c r="J928" s="530">
        <f>SUM(SUMIFS(J:J,$D:$D,$D928,$E:$E,$E928,$F:$F,{"Serviced Accommodation","Non-Serviced Accommodation","SFR"}))</f>
        <v>4580.5150640009842</v>
      </c>
      <c r="K928" s="530">
        <f>SUM(SUMIFS(K:K,$D:$D,$D928,$E:$E,$E928,$F:$F,{"Serviced Accommodation","Non-Serviced Accommodation","SFR"}))</f>
        <v>12162.471151804859</v>
      </c>
      <c r="L928" s="530">
        <f>SUM(SUMIFS(L:L,$D:$D,$D928,$E:$E,$E928,$F:$F,{"Serviced Accommodation","Non-Serviced Accommodation","SFR"}))</f>
        <v>12509.958346639203</v>
      </c>
      <c r="M928" s="530">
        <f>SUM(SUMIFS(M:M,$D:$D,$D928,$E:$E,$E928,$F:$F,{"Serviced Accommodation","Non-Serviced Accommodation","SFR"}))</f>
        <v>15355.750150209456</v>
      </c>
      <c r="N928" s="530">
        <f>SUM(SUMIFS(N:N,$D:$D,$D928,$E:$E,$E928,$F:$F,{"Serviced Accommodation","Non-Serviced Accommodation","SFR"}))</f>
        <v>16559.06995999752</v>
      </c>
      <c r="O928" s="530">
        <f>SUM(SUMIFS(O:O,$D:$D,$D928,$E:$E,$E928,$F:$F,{"Serviced Accommodation","Non-Serviced Accommodation","SFR"}))</f>
        <v>18172.035292871587</v>
      </c>
      <c r="P928" s="530">
        <f>SUM(SUMIFS(P:P,$D:$D,$D928,$E:$E,$E928,$F:$F,{"Serviced Accommodation","Non-Serviced Accommodation","SFR"}))</f>
        <v>13670.551461001458</v>
      </c>
      <c r="Q928" s="530">
        <f>SUM(SUMIFS(Q:Q,$D:$D,$D928,$E:$E,$E928,$F:$F,{"Serviced Accommodation","Non-Serviced Accommodation","SFR"}))</f>
        <v>12008.29096493989</v>
      </c>
      <c r="R928" s="530">
        <f>SUM(SUMIFS(R:R,$D:$D,$D928,$E:$E,$E928,$F:$F,{"Serviced Accommodation","Non-Serviced Accommodation","SFR"}))</f>
        <v>4128.3900794234369</v>
      </c>
      <c r="S928" s="530">
        <f>SUM(SUMIFS(S:S,$D:$D,$D928,$E:$E,$E928,$F:$F,{"Serviced Accommodation","Non-Serviced Accommodation","SFR"}))</f>
        <v>4023.8873551863317</v>
      </c>
      <c r="T928" s="530">
        <f>SUM(SUMIFS(T:T,$D:$D,$D928,$E:$E,$E928,$F:$F,{"Serviced Accommodation","Non-Serviced Accommodation","SFR"}))</f>
        <v>10073.558446723791</v>
      </c>
      <c r="U928" s="530" t="s">
        <v>59</v>
      </c>
    </row>
    <row r="929" spans="1:21" ht="12.75" customHeight="1" x14ac:dyDescent="0.3">
      <c r="A929" s="530" t="str">
        <f t="shared" si="32"/>
        <v>Gwynedd.2012.Visitor Days.Staying Visitor</v>
      </c>
      <c r="B929" s="530" t="s">
        <v>219</v>
      </c>
      <c r="C929" s="530" t="str">
        <f t="shared" si="33"/>
        <v>2012.Visitor Days.Staying Visitor</v>
      </c>
      <c r="D929" s="530" t="s">
        <v>231</v>
      </c>
      <c r="E929" s="530" t="s">
        <v>171</v>
      </c>
      <c r="F929" s="530" t="s">
        <v>140</v>
      </c>
      <c r="G929" s="530" t="s">
        <v>140</v>
      </c>
      <c r="H929" s="530">
        <f>SUM(SUMIFS(H:H,$D:$D,$D929,$E:$E,$E929,$F:$F,{"Serviced Accommodation","Non-Serviced Accommodation","SFR"}))</f>
        <v>373.45040408361075</v>
      </c>
      <c r="I929" s="530">
        <f>SUM(SUMIFS(I:I,$D:$D,$D929,$E:$E,$E929,$F:$F,{"Serviced Accommodation","Non-Serviced Accommodation","SFR"}))</f>
        <v>346.11578231655989</v>
      </c>
      <c r="J929" s="530">
        <f>SUM(SUMIFS(J:J,$D:$D,$D929,$E:$E,$E929,$F:$F,{"Serviced Accommodation","Non-Serviced Accommodation","SFR"}))</f>
        <v>503.20106208797449</v>
      </c>
      <c r="K929" s="530">
        <f>SUM(SUMIFS(K:K,$D:$D,$D929,$E:$E,$E929,$F:$F,{"Serviced Accommodation","Non-Serviced Accommodation","SFR"}))</f>
        <v>1606.0084008445754</v>
      </c>
      <c r="L929" s="530">
        <f>SUM(SUMIFS(L:L,$D:$D,$D929,$E:$E,$E929,$F:$F,{"Serviced Accommodation","Non-Serviced Accommodation","SFR"}))</f>
        <v>1693.2989215490034</v>
      </c>
      <c r="M929" s="530">
        <f>SUM(SUMIFS(M:M,$D:$D,$D929,$E:$E,$E929,$F:$F,{"Serviced Accommodation","Non-Serviced Accommodation","SFR"}))</f>
        <v>2210.264505950835</v>
      </c>
      <c r="N929" s="530">
        <f>SUM(SUMIFS(N:N,$D:$D,$D929,$E:$E,$E929,$F:$F,{"Serviced Accommodation","Non-Serviced Accommodation","SFR"}))</f>
        <v>2531.194842580599</v>
      </c>
      <c r="O929" s="530">
        <f>SUM(SUMIFS(O:O,$D:$D,$D929,$E:$E,$E929,$F:$F,{"Serviced Accommodation","Non-Serviced Accommodation","SFR"}))</f>
        <v>2821.4023256201367</v>
      </c>
      <c r="P929" s="530">
        <f>SUM(SUMIFS(P:P,$D:$D,$D929,$E:$E,$E929,$F:$F,{"Serviced Accommodation","Non-Serviced Accommodation","SFR"}))</f>
        <v>1924.2637722485317</v>
      </c>
      <c r="Q929" s="530">
        <f>SUM(SUMIFS(Q:Q,$D:$D,$D929,$E:$E,$E929,$F:$F,{"Serviced Accommodation","Non-Serviced Accommodation","SFR"}))</f>
        <v>1602.6217578883732</v>
      </c>
      <c r="R929" s="530">
        <f>SUM(SUMIFS(R:R,$D:$D,$D929,$E:$E,$E929,$F:$F,{"Serviced Accommodation","Non-Serviced Accommodation","SFR"}))</f>
        <v>404.1292569296221</v>
      </c>
      <c r="S929" s="530">
        <f>SUM(SUMIFS(S:S,$D:$D,$D929,$E:$E,$E929,$F:$F,{"Serviced Accommodation","Non-Serviced Accommodation","SFR"}))</f>
        <v>387.03919171475303</v>
      </c>
      <c r="T929" s="530">
        <f>SUM(SUMIFS(T:T,$D:$D,$D929,$E:$E,$E929,$F:$F,{"Serviced Accommodation","Non-Serviced Accommodation","SFR"}))</f>
        <v>16402.990223814573</v>
      </c>
      <c r="U929" s="530" t="s">
        <v>61</v>
      </c>
    </row>
    <row r="930" spans="1:21" ht="12.75" customHeight="1" x14ac:dyDescent="0.3">
      <c r="A930" s="530" t="str">
        <f t="shared" si="32"/>
        <v>Gwynedd.2012.Visitor Numbers.Staying Visitor</v>
      </c>
      <c r="B930" s="530" t="s">
        <v>219</v>
      </c>
      <c r="C930" s="530" t="str">
        <f t="shared" si="33"/>
        <v>2012.Visitor Numbers.Staying Visitor</v>
      </c>
      <c r="D930" s="530" t="s">
        <v>231</v>
      </c>
      <c r="E930" s="530" t="s">
        <v>172</v>
      </c>
      <c r="F930" s="530" t="s">
        <v>140</v>
      </c>
      <c r="G930" s="530" t="s">
        <v>140</v>
      </c>
      <c r="H930" s="530">
        <f>SUM(SUMIFS(H:H,$D:$D,$D930,$E:$E,$E930,$F:$F,{"Serviced Accommodation","Non-Serviced Accommodation","SFR"}))</f>
        <v>128.98119796530591</v>
      </c>
      <c r="I930" s="530">
        <f>SUM(SUMIFS(I:I,$D:$D,$D930,$E:$E,$E930,$F:$F,{"Serviced Accommodation","Non-Serviced Accommodation","SFR"}))</f>
        <v>112.27791105162456</v>
      </c>
      <c r="J930" s="530">
        <f>SUM(SUMIFS(J:J,$D:$D,$D930,$E:$E,$E930,$F:$F,{"Serviced Accommodation","Non-Serviced Accommodation","SFR"}))</f>
        <v>128.53849543232073</v>
      </c>
      <c r="K930" s="530">
        <f>SUM(SUMIFS(K:K,$D:$D,$D930,$E:$E,$E930,$F:$F,{"Serviced Accommodation","Non-Serviced Accommodation","SFR"}))</f>
        <v>308.98551461642398</v>
      </c>
      <c r="L930" s="530">
        <f>SUM(SUMIFS(L:L,$D:$D,$D930,$E:$E,$E930,$F:$F,{"Serviced Accommodation","Non-Serviced Accommodation","SFR"}))</f>
        <v>308.18850367303185</v>
      </c>
      <c r="M930" s="530">
        <f>SUM(SUMIFS(M:M,$D:$D,$D930,$E:$E,$E930,$F:$F,{"Serviced Accommodation","Non-Serviced Accommodation","SFR"}))</f>
        <v>389.89059128723761</v>
      </c>
      <c r="N930" s="530">
        <f>SUM(SUMIFS(N:N,$D:$D,$D930,$E:$E,$E930,$F:$F,{"Serviced Accommodation","Non-Serviced Accommodation","SFR"}))</f>
        <v>434.83160268180973</v>
      </c>
      <c r="O930" s="530">
        <f>SUM(SUMIFS(O:O,$D:$D,$D930,$E:$E,$E930,$F:$F,{"Serviced Accommodation","Non-Serviced Accommodation","SFR"}))</f>
        <v>480.62355896504982</v>
      </c>
      <c r="P930" s="530">
        <f>SUM(SUMIFS(P:P,$D:$D,$D930,$E:$E,$E930,$F:$F,{"Serviced Accommodation","Non-Serviced Accommodation","SFR"}))</f>
        <v>345.39531333153269</v>
      </c>
      <c r="Q930" s="530">
        <f>SUM(SUMIFS(Q:Q,$D:$D,$D930,$E:$E,$E930,$F:$F,{"Serviced Accommodation","Non-Serviced Accommodation","SFR"}))</f>
        <v>289.75066861448306</v>
      </c>
      <c r="R930" s="530">
        <f>SUM(SUMIFS(R:R,$D:$D,$D930,$E:$E,$E930,$F:$F,{"Serviced Accommodation","Non-Serviced Accommodation","SFR"}))</f>
        <v>111.66566132917393</v>
      </c>
      <c r="S930" s="530">
        <f>SUM(SUMIFS(S:S,$D:$D,$D930,$E:$E,$E930,$F:$F,{"Serviced Accommodation","Non-Serviced Accommodation","SFR"}))</f>
        <v>96.624427389711329</v>
      </c>
      <c r="T930" s="530">
        <f>SUM(SUMIFS(T:T,$D:$D,$D930,$E:$E,$E930,$F:$F,{"Serviced Accommodation","Non-Serviced Accommodation","SFR"}))</f>
        <v>3135.7534463377051</v>
      </c>
      <c r="U930" s="530" t="s">
        <v>61</v>
      </c>
    </row>
    <row r="931" spans="1:21" ht="12.75" customHeight="1" x14ac:dyDescent="0.3">
      <c r="A931" s="530" t="str">
        <f t="shared" si="32"/>
        <v>Gwynedd.2012.Vehicle Days.Staying Visitor</v>
      </c>
      <c r="B931" s="530" t="s">
        <v>219</v>
      </c>
      <c r="C931" s="530" t="str">
        <f t="shared" si="33"/>
        <v>2012.Vehicle Days.Staying Visitor</v>
      </c>
      <c r="D931" s="530" t="s">
        <v>231</v>
      </c>
      <c r="E931" s="530" t="s">
        <v>21</v>
      </c>
      <c r="F931" s="530" t="s">
        <v>140</v>
      </c>
      <c r="G931" s="530" t="s">
        <v>140</v>
      </c>
      <c r="H931" s="530">
        <f>SUM(SUMIFS(H:H,$D:$D,$D931,$E:$E,$E931,$F:$F,{"Serviced Accommodation","Non-Serviced Accommodation","SFR"}))</f>
        <v>98.234646593383076</v>
      </c>
      <c r="I931" s="530">
        <f>SUM(SUMIFS(I:I,$D:$D,$D931,$E:$E,$E931,$F:$F,{"Serviced Accommodation","Non-Serviced Accommodation","SFR"}))</f>
        <v>97.723676726032252</v>
      </c>
      <c r="J931" s="530">
        <f>SUM(SUMIFS(J:J,$D:$D,$D931,$E:$E,$E931,$F:$F,{"Serviced Accommodation","Non-Serviced Accommodation","SFR"}))</f>
        <v>138.3636498033415</v>
      </c>
      <c r="K931" s="530">
        <f>SUM(SUMIFS(K:K,$D:$D,$D931,$E:$E,$E931,$F:$F,{"Serviced Accommodation","Non-Serviced Accommodation","SFR"}))</f>
        <v>436.12108027982822</v>
      </c>
      <c r="L931" s="530">
        <f>SUM(SUMIFS(L:L,$D:$D,$D931,$E:$E,$E931,$F:$F,{"Serviced Accommodation","Non-Serviced Accommodation","SFR"}))</f>
        <v>465.07106817936182</v>
      </c>
      <c r="M931" s="530">
        <f>SUM(SUMIFS(M:M,$D:$D,$D931,$E:$E,$E931,$F:$F,{"Serviced Accommodation","Non-Serviced Accommodation","SFR"}))</f>
        <v>621.19573969669841</v>
      </c>
      <c r="N931" s="530">
        <f>SUM(SUMIFS(N:N,$D:$D,$D931,$E:$E,$E931,$F:$F,{"Serviced Accommodation","Non-Serviced Accommodation","SFR"}))</f>
        <v>681.66877503955118</v>
      </c>
      <c r="O931" s="530">
        <f>SUM(SUMIFS(O:O,$D:$D,$D931,$E:$E,$E931,$F:$F,{"Serviced Accommodation","Non-Serviced Accommodation","SFR"}))</f>
        <v>760.70424538905206</v>
      </c>
      <c r="P931" s="530">
        <f>SUM(SUMIFS(P:P,$D:$D,$D931,$E:$E,$E931,$F:$F,{"Serviced Accommodation","Non-Serviced Accommodation","SFR"}))</f>
        <v>527.20591264326777</v>
      </c>
      <c r="Q931" s="530">
        <f>SUM(SUMIFS(Q:Q,$D:$D,$D931,$E:$E,$E931,$F:$F,{"Serviced Accommodation","Non-Serviced Accommodation","SFR"}))</f>
        <v>433.6901021493577</v>
      </c>
      <c r="R931" s="530">
        <f>SUM(SUMIFS(R:R,$D:$D,$D931,$E:$E,$E931,$F:$F,{"Serviced Accommodation","Non-Serviced Accommodation","SFR"}))</f>
        <v>107.3677114725389</v>
      </c>
      <c r="S931" s="530">
        <f>SUM(SUMIFS(S:S,$D:$D,$D931,$E:$E,$E931,$F:$F,{"Serviced Accommodation","Non-Serviced Accommodation","SFR"}))</f>
        <v>98.711280357064965</v>
      </c>
      <c r="T931" s="530">
        <f>SUM(SUMIFS(T:T,$D:$D,$D931,$E:$E,$E931,$F:$F,{"Serviced Accommodation","Non-Serviced Accommodation","SFR"}))</f>
        <v>4466.0578883294775</v>
      </c>
      <c r="U931" s="530" t="s">
        <v>61</v>
      </c>
    </row>
    <row r="932" spans="1:21" ht="12.75" customHeight="1" x14ac:dyDescent="0.3">
      <c r="A932" s="530" t="str">
        <f t="shared" si="32"/>
        <v>Gwynedd.2012.Vehicle Numbers.Staying Visitor</v>
      </c>
      <c r="B932" s="530" t="s">
        <v>219</v>
      </c>
      <c r="C932" s="530" t="str">
        <f t="shared" si="33"/>
        <v>2012.Vehicle Numbers.Staying Visitor</v>
      </c>
      <c r="D932" s="530" t="s">
        <v>231</v>
      </c>
      <c r="E932" s="530" t="s">
        <v>22</v>
      </c>
      <c r="F932" s="530" t="s">
        <v>140</v>
      </c>
      <c r="G932" s="530" t="s">
        <v>140</v>
      </c>
      <c r="H932" s="530">
        <f>SUM(SUMIFS(H:H,$D:$D,$D932,$E:$E,$E932,$F:$F,{"Serviced Accommodation","Non-Serviced Accommodation","SFR"}))</f>
        <v>34.163033626309804</v>
      </c>
      <c r="I932" s="530">
        <f>SUM(SUMIFS(I:I,$D:$D,$D932,$E:$E,$E932,$F:$F,{"Serviced Accommodation","Non-Serviced Accommodation","SFR"}))</f>
        <v>33.075940276246158</v>
      </c>
      <c r="J932" s="530">
        <f>SUM(SUMIFS(J:J,$D:$D,$D932,$E:$E,$E932,$F:$F,{"Serviced Accommodation","Non-Serviced Accommodation","SFR"}))</f>
        <v>37.008065719944966</v>
      </c>
      <c r="K932" s="530">
        <f>SUM(SUMIFS(K:K,$D:$D,$D932,$E:$E,$E932,$F:$F,{"Serviced Accommodation","Non-Serviced Accommodation","SFR"}))</f>
        <v>83.816696663573225</v>
      </c>
      <c r="L932" s="530">
        <f>SUM(SUMIFS(L:L,$D:$D,$D932,$E:$E,$E932,$F:$F,{"Serviced Accommodation","Non-Serviced Accommodation","SFR"}))</f>
        <v>85.421993807238422</v>
      </c>
      <c r="M932" s="530">
        <f>SUM(SUMIFS(M:M,$D:$D,$D932,$E:$E,$E932,$F:$F,{"Serviced Accommodation","Non-Serviced Accommodation","SFR"}))</f>
        <v>109.53741094591396</v>
      </c>
      <c r="N932" s="530">
        <f>SUM(SUMIFS(N:N,$D:$D,$D932,$E:$E,$E932,$F:$F,{"Serviced Accommodation","Non-Serviced Accommodation","SFR"}))</f>
        <v>116.92442230805545</v>
      </c>
      <c r="O932" s="530">
        <f>SUM(SUMIFS(O:O,$D:$D,$D932,$E:$E,$E932,$F:$F,{"Serviced Accommodation","Non-Serviced Accommodation","SFR"}))</f>
        <v>129.0541759450887</v>
      </c>
      <c r="P932" s="530">
        <f>SUM(SUMIFS(P:P,$D:$D,$D932,$E:$E,$E932,$F:$F,{"Serviced Accommodation","Non-Serviced Accommodation","SFR"}))</f>
        <v>94.047023165348477</v>
      </c>
      <c r="Q932" s="530">
        <f>SUM(SUMIFS(Q:Q,$D:$D,$D932,$E:$E,$E932,$F:$F,{"Serviced Accommodation","Non-Serviced Accommodation","SFR"}))</f>
        <v>79.564420876786471</v>
      </c>
      <c r="R932" s="530">
        <f>SUM(SUMIFS(R:R,$D:$D,$D932,$E:$E,$E932,$F:$F,{"Serviced Accommodation","Non-Serviced Accommodation","SFR"}))</f>
        <v>30.454580244953736</v>
      </c>
      <c r="S932" s="530">
        <f>SUM(SUMIFS(S:S,$D:$D,$D932,$E:$E,$E932,$F:$F,{"Serviced Accommodation","Non-Serviced Accommodation","SFR"}))</f>
        <v>25.387824107604214</v>
      </c>
      <c r="T932" s="530">
        <f>SUM(SUMIFS(T:T,$D:$D,$D932,$E:$E,$E932,$F:$F,{"Serviced Accommodation","Non-Serviced Accommodation","SFR"}))</f>
        <v>858.45558768706348</v>
      </c>
      <c r="U932" s="530" t="s">
        <v>61</v>
      </c>
    </row>
    <row r="933" spans="1:21" ht="12.75" customHeight="1" x14ac:dyDescent="0.3">
      <c r="A933" s="530" t="str">
        <f t="shared" si="32"/>
        <v>Gwynedd.2013.Economic Impact.Staying Visitor</v>
      </c>
      <c r="B933" s="530" t="s">
        <v>219</v>
      </c>
      <c r="C933" s="530" t="str">
        <f t="shared" si="33"/>
        <v>2013.Economic Impact.Staying Visitor</v>
      </c>
      <c r="D933" s="530" t="s">
        <v>232</v>
      </c>
      <c r="E933" s="530" t="s">
        <v>17</v>
      </c>
      <c r="F933" s="530" t="s">
        <v>140</v>
      </c>
      <c r="G933" s="530" t="s">
        <v>140</v>
      </c>
      <c r="H933" s="530">
        <f>SUM(SUMIFS(H:H,$D:$D,$D933,$E:$E,$E933,$F:$F,{"Serviced Accommodation","Non-Serviced Accommodation","SFR"}))</f>
        <v>19406.87022468189</v>
      </c>
      <c r="I933" s="530">
        <f>SUM(SUMIFS(I:I,$D:$D,$D933,$E:$E,$E933,$F:$F,{"Serviced Accommodation","Non-Serviced Accommodation","SFR"}))</f>
        <v>21259.699030223223</v>
      </c>
      <c r="J933" s="530">
        <f>SUM(SUMIFS(J:J,$D:$D,$D933,$E:$E,$E933,$F:$F,{"Serviced Accommodation","Non-Serviced Accommodation","SFR"}))</f>
        <v>54374.513970836015</v>
      </c>
      <c r="K933" s="530">
        <f>SUM(SUMIFS(K:K,$D:$D,$D933,$E:$E,$E933,$F:$F,{"Serviced Accommodation","Non-Serviced Accommodation","SFR"}))</f>
        <v>64925.069628604491</v>
      </c>
      <c r="L933" s="530">
        <f>SUM(SUMIFS(L:L,$D:$D,$D933,$E:$E,$E933,$F:$F,{"Serviced Accommodation","Non-Serviced Accommodation","SFR"}))</f>
        <v>74587.350180698908</v>
      </c>
      <c r="M933" s="530">
        <f>SUM(SUMIFS(M:M,$D:$D,$D933,$E:$E,$E933,$F:$F,{"Serviced Accommodation","Non-Serviced Accommodation","SFR"}))</f>
        <v>84218.160566940962</v>
      </c>
      <c r="N933" s="530">
        <f>SUM(SUMIFS(N:N,$D:$D,$D933,$E:$E,$E933,$F:$F,{"Serviced Accommodation","Non-Serviced Accommodation","SFR"}))</f>
        <v>116741.0169158897</v>
      </c>
      <c r="O933" s="530">
        <f>SUM(SUMIFS(O:O,$D:$D,$D933,$E:$E,$E933,$F:$F,{"Serviced Accommodation","Non-Serviced Accommodation","SFR"}))</f>
        <v>132144.15389686704</v>
      </c>
      <c r="P933" s="530">
        <f>SUM(SUMIFS(P:P,$D:$D,$D933,$E:$E,$E933,$F:$F,{"Serviced Accommodation","Non-Serviced Accommodation","SFR"}))</f>
        <v>88412.260496357223</v>
      </c>
      <c r="Q933" s="530">
        <f>SUM(SUMIFS(Q:Q,$D:$D,$D933,$E:$E,$E933,$F:$F,{"Serviced Accommodation","Non-Serviced Accommodation","SFR"}))</f>
        <v>60484.784314345459</v>
      </c>
      <c r="R933" s="530">
        <f>SUM(SUMIFS(R:R,$D:$D,$D933,$E:$E,$E933,$F:$F,{"Serviced Accommodation","Non-Serviced Accommodation","SFR"}))</f>
        <v>28300.736563272447</v>
      </c>
      <c r="S933" s="530">
        <f>SUM(SUMIFS(S:S,$D:$D,$D933,$E:$E,$E933,$F:$F,{"Serviced Accommodation","Non-Serviced Accommodation","SFR"}))</f>
        <v>24544.170855717239</v>
      </c>
      <c r="T933" s="530">
        <f>SUM(SUMIFS(T:T,$D:$D,$D933,$E:$E,$E933,$F:$F,{"Serviced Accommodation","Non-Serviced Accommodation","SFR"}))</f>
        <v>769398.78664443467</v>
      </c>
      <c r="U933" s="530" t="s">
        <v>57</v>
      </c>
    </row>
    <row r="934" spans="1:21" ht="12.75" customHeight="1" x14ac:dyDescent="0.3">
      <c r="A934" s="530" t="str">
        <f t="shared" si="32"/>
        <v>Gwynedd.2013.Employment.Staying Visitor</v>
      </c>
      <c r="B934" s="530" t="s">
        <v>219</v>
      </c>
      <c r="C934" s="530" t="str">
        <f t="shared" si="33"/>
        <v>2013.Employment.Staying Visitor</v>
      </c>
      <c r="D934" s="530" t="s">
        <v>232</v>
      </c>
      <c r="E934" s="530" t="s">
        <v>20</v>
      </c>
      <c r="F934" s="530" t="s">
        <v>140</v>
      </c>
      <c r="G934" s="530" t="s">
        <v>140</v>
      </c>
      <c r="H934" s="530">
        <f>SUM(SUMIFS(H:H,$D:$D,$D934,$E:$E,$E934,$F:$F,{"Serviced Accommodation","Non-Serviced Accommodation","SFR"}))</f>
        <v>5931.4064512329378</v>
      </c>
      <c r="I934" s="530">
        <f>SUM(SUMIFS(I:I,$D:$D,$D934,$E:$E,$E934,$F:$F,{"Serviced Accommodation","Non-Serviced Accommodation","SFR"}))</f>
        <v>6110.4982817150476</v>
      </c>
      <c r="J934" s="530">
        <f>SUM(SUMIFS(J:J,$D:$D,$D934,$E:$E,$E934,$F:$F,{"Serviced Accommodation","Non-Serviced Accommodation","SFR"}))</f>
        <v>10209.851565818262</v>
      </c>
      <c r="K934" s="530">
        <f>SUM(SUMIFS(K:K,$D:$D,$D934,$E:$E,$E934,$F:$F,{"Serviced Accommodation","Non-Serviced Accommodation","SFR"}))</f>
        <v>11668.05378338974</v>
      </c>
      <c r="L934" s="530">
        <f>SUM(SUMIFS(L:L,$D:$D,$D934,$E:$E,$E934,$F:$F,{"Serviced Accommodation","Non-Serviced Accommodation","SFR"}))</f>
        <v>12867.521756590548</v>
      </c>
      <c r="M934" s="530">
        <f>SUM(SUMIFS(M:M,$D:$D,$D934,$E:$E,$E934,$F:$F,{"Serviced Accommodation","Non-Serviced Accommodation","SFR"}))</f>
        <v>13898.142492426567</v>
      </c>
      <c r="N934" s="530">
        <f>SUM(SUMIFS(N:N,$D:$D,$D934,$E:$E,$E934,$F:$F,{"Serviced Accommodation","Non-Serviced Accommodation","SFR"}))</f>
        <v>16271.687695374381</v>
      </c>
      <c r="O934" s="530">
        <f>SUM(SUMIFS(O:O,$D:$D,$D934,$E:$E,$E934,$F:$F,{"Serviced Accommodation","Non-Serviced Accommodation","SFR"}))</f>
        <v>17661.208436378536</v>
      </c>
      <c r="P934" s="530">
        <f>SUM(SUMIFS(P:P,$D:$D,$D934,$E:$E,$E934,$F:$F,{"Serviced Accommodation","Non-Serviced Accommodation","SFR"}))</f>
        <v>12855.051788090728</v>
      </c>
      <c r="Q934" s="530">
        <f>SUM(SUMIFS(Q:Q,$D:$D,$D934,$E:$E,$E934,$F:$F,{"Serviced Accommodation","Non-Serviced Accommodation","SFR"}))</f>
        <v>11132.258963183176</v>
      </c>
      <c r="R934" s="530">
        <f>SUM(SUMIFS(R:R,$D:$D,$D934,$E:$E,$E934,$F:$F,{"Serviced Accommodation","Non-Serviced Accommodation","SFR"}))</f>
        <v>7080.2822054821154</v>
      </c>
      <c r="S934" s="530">
        <f>SUM(SUMIFS(S:S,$D:$D,$D934,$E:$E,$E934,$F:$F,{"Serviced Accommodation","Non-Serviced Accommodation","SFR"}))</f>
        <v>6558.5592211461335</v>
      </c>
      <c r="T934" s="530">
        <f>SUM(SUMIFS(T:T,$D:$D,$D934,$E:$E,$E934,$F:$F,{"Serviced Accommodation","Non-Serviced Accommodation","SFR"}))</f>
        <v>11020.376886735681</v>
      </c>
      <c r="U934" s="530" t="s">
        <v>59</v>
      </c>
    </row>
    <row r="935" spans="1:21" ht="12.75" customHeight="1" x14ac:dyDescent="0.3">
      <c r="A935" s="530" t="str">
        <f t="shared" si="32"/>
        <v>Gwynedd.2013.Visitor Days.Staying Visitor</v>
      </c>
      <c r="B935" s="530" t="s">
        <v>219</v>
      </c>
      <c r="C935" s="530" t="str">
        <f t="shared" si="33"/>
        <v>2013.Visitor Days.Staying Visitor</v>
      </c>
      <c r="D935" s="530" t="s">
        <v>232</v>
      </c>
      <c r="E935" s="530" t="s">
        <v>171</v>
      </c>
      <c r="F935" s="530" t="s">
        <v>140</v>
      </c>
      <c r="G935" s="530" t="s">
        <v>140</v>
      </c>
      <c r="H935" s="530">
        <f>SUM(SUMIFS(H:H,$D:$D,$D935,$E:$E,$E935,$F:$F,{"Serviced Accommodation","Non-Serviced Accommodation","SFR"}))</f>
        <v>468.38667936926777</v>
      </c>
      <c r="I935" s="530">
        <f>SUM(SUMIFS(I:I,$D:$D,$D935,$E:$E,$E935,$F:$F,{"Serviced Accommodation","Non-Serviced Accommodation","SFR"}))</f>
        <v>476.05559922047132</v>
      </c>
      <c r="J935" s="530">
        <f>SUM(SUMIFS(J:J,$D:$D,$D935,$E:$E,$E935,$F:$F,{"Serviced Accommodation","Non-Serviced Accommodation","SFR"}))</f>
        <v>1267.5429647061408</v>
      </c>
      <c r="K935" s="530">
        <f>SUM(SUMIFS(K:K,$D:$D,$D935,$E:$E,$E935,$F:$F,{"Serviced Accommodation","Non-Serviced Accommodation","SFR"}))</f>
        <v>1552.3688853245742</v>
      </c>
      <c r="L935" s="530">
        <f>SUM(SUMIFS(L:L,$D:$D,$D935,$E:$E,$E935,$F:$F,{"Serviced Accommodation","Non-Serviced Accommodation","SFR"}))</f>
        <v>1810.5809195301028</v>
      </c>
      <c r="M935" s="530">
        <f>SUM(SUMIFS(M:M,$D:$D,$D935,$E:$E,$E935,$F:$F,{"Serviced Accommodation","Non-Serviced Accommodation","SFR"}))</f>
        <v>2007.5614118007286</v>
      </c>
      <c r="N935" s="530">
        <f>SUM(SUMIFS(N:N,$D:$D,$D935,$E:$E,$E935,$F:$F,{"Serviced Accommodation","Non-Serviced Accommodation","SFR"}))</f>
        <v>2546.1779694281049</v>
      </c>
      <c r="O935" s="530">
        <f>SUM(SUMIFS(O:O,$D:$D,$D935,$E:$E,$E935,$F:$F,{"Serviced Accommodation","Non-Serviced Accommodation","SFR"}))</f>
        <v>2824.1069197176821</v>
      </c>
      <c r="P935" s="530">
        <f>SUM(SUMIFS(P:P,$D:$D,$D935,$E:$E,$E935,$F:$F,{"Serviced Accommodation","Non-Serviced Accommodation","SFR"}))</f>
        <v>1825.9038677989695</v>
      </c>
      <c r="Q935" s="530">
        <f>SUM(SUMIFS(Q:Q,$D:$D,$D935,$E:$E,$E935,$F:$F,{"Serviced Accommodation","Non-Serviced Accommodation","SFR"}))</f>
        <v>1452.1769424972504</v>
      </c>
      <c r="R935" s="530">
        <f>SUM(SUMIFS(R:R,$D:$D,$D935,$E:$E,$E935,$F:$F,{"Serviced Accommodation","Non-Serviced Accommodation","SFR"}))</f>
        <v>673.85547977284273</v>
      </c>
      <c r="S935" s="530">
        <f>SUM(SUMIFS(S:S,$D:$D,$D935,$E:$E,$E935,$F:$F,{"Serviced Accommodation","Non-Serviced Accommodation","SFR"}))</f>
        <v>566.53407341311379</v>
      </c>
      <c r="T935" s="530">
        <f>SUM(SUMIFS(T:T,$D:$D,$D935,$E:$E,$E935,$F:$F,{"Serviced Accommodation","Non-Serviced Accommodation","SFR"}))</f>
        <v>17471.251712579247</v>
      </c>
      <c r="U935" s="530" t="s">
        <v>61</v>
      </c>
    </row>
    <row r="936" spans="1:21" ht="12.75" customHeight="1" x14ac:dyDescent="0.3">
      <c r="A936" s="530" t="str">
        <f t="shared" si="32"/>
        <v>Gwynedd.2013.Visitor Numbers.Staying Visitor</v>
      </c>
      <c r="B936" s="530" t="s">
        <v>219</v>
      </c>
      <c r="C936" s="530" t="str">
        <f t="shared" si="33"/>
        <v>2013.Visitor Numbers.Staying Visitor</v>
      </c>
      <c r="D936" s="530" t="s">
        <v>232</v>
      </c>
      <c r="E936" s="530" t="s">
        <v>172</v>
      </c>
      <c r="F936" s="530" t="s">
        <v>140</v>
      </c>
      <c r="G936" s="530" t="s">
        <v>140</v>
      </c>
      <c r="H936" s="530">
        <f>SUM(SUMIFS(H:H,$D:$D,$D936,$E:$E,$E936,$F:$F,{"Serviced Accommodation","Non-Serviced Accommodation","SFR"}))</f>
        <v>157.49850536151897</v>
      </c>
      <c r="I936" s="530">
        <f>SUM(SUMIFS(I:I,$D:$D,$D936,$E:$E,$E936,$F:$F,{"Serviced Accommodation","Non-Serviced Accommodation","SFR"}))</f>
        <v>141.64541427171974</v>
      </c>
      <c r="J936" s="530">
        <f>SUM(SUMIFS(J:J,$D:$D,$D936,$E:$E,$E936,$F:$F,{"Serviced Accommodation","Non-Serviced Accommodation","SFR"}))</f>
        <v>289.39564271296763</v>
      </c>
      <c r="K936" s="530">
        <f>SUM(SUMIFS(K:K,$D:$D,$D936,$E:$E,$E936,$F:$F,{"Serviced Accommodation","Non-Serviced Accommodation","SFR"}))</f>
        <v>289.57372809855423</v>
      </c>
      <c r="L936" s="530">
        <f>SUM(SUMIFS(L:L,$D:$D,$D936,$E:$E,$E936,$F:$F,{"Serviced Accommodation","Non-Serviced Accommodation","SFR"}))</f>
        <v>310.35885744662767</v>
      </c>
      <c r="M936" s="530">
        <f>SUM(SUMIFS(M:M,$D:$D,$D936,$E:$E,$E936,$F:$F,{"Serviced Accommodation","Non-Serviced Accommodation","SFR"}))</f>
        <v>341.20051536600425</v>
      </c>
      <c r="N936" s="530">
        <f>SUM(SUMIFS(N:N,$D:$D,$D936,$E:$E,$E936,$F:$F,{"Serviced Accommodation","Non-Serviced Accommodation","SFR"}))</f>
        <v>422.77645456502586</v>
      </c>
      <c r="O936" s="530">
        <f>SUM(SUMIFS(O:O,$D:$D,$D936,$E:$E,$E936,$F:$F,{"Serviced Accommodation","Non-Serviced Accommodation","SFR"}))</f>
        <v>445.04198913568467</v>
      </c>
      <c r="P936" s="530">
        <f>SUM(SUMIFS(P:P,$D:$D,$D936,$E:$E,$E936,$F:$F,{"Serviced Accommodation","Non-Serviced Accommodation","SFR"}))</f>
        <v>311.8992940597434</v>
      </c>
      <c r="Q936" s="530">
        <f>SUM(SUMIFS(Q:Q,$D:$D,$D936,$E:$E,$E936,$F:$F,{"Serviced Accommodation","Non-Serviced Accommodation","SFR"}))</f>
        <v>254.55883464254413</v>
      </c>
      <c r="R936" s="530">
        <f>SUM(SUMIFS(R:R,$D:$D,$D936,$E:$E,$E936,$F:$F,{"Serviced Accommodation","Non-Serviced Accommodation","SFR"}))</f>
        <v>176.04820738348207</v>
      </c>
      <c r="S936" s="530">
        <f>SUM(SUMIFS(S:S,$D:$D,$D936,$E:$E,$E936,$F:$F,{"Serviced Accommodation","Non-Serviced Accommodation","SFR"}))</f>
        <v>135.36579969480707</v>
      </c>
      <c r="T936" s="530">
        <f>SUM(SUMIFS(T:T,$D:$D,$D936,$E:$E,$E936,$F:$F,{"Serviced Accommodation","Non-Serviced Accommodation","SFR"}))</f>
        <v>3275.3632427386801</v>
      </c>
      <c r="U936" s="530" t="s">
        <v>61</v>
      </c>
    </row>
    <row r="937" spans="1:21" ht="12.75" customHeight="1" x14ac:dyDescent="0.3">
      <c r="A937" s="530" t="str">
        <f t="shared" si="32"/>
        <v>Gwynedd.2013.Vehicle Days.Staying Visitor</v>
      </c>
      <c r="B937" s="530" t="s">
        <v>219</v>
      </c>
      <c r="C937" s="530" t="str">
        <f t="shared" si="33"/>
        <v>2013.Vehicle Days.Staying Visitor</v>
      </c>
      <c r="D937" s="530" t="s">
        <v>232</v>
      </c>
      <c r="E937" s="530" t="s">
        <v>21</v>
      </c>
      <c r="F937" s="530" t="s">
        <v>140</v>
      </c>
      <c r="G937" s="530" t="s">
        <v>140</v>
      </c>
      <c r="H937" s="530">
        <f>SUM(SUMIFS(H:H,$D:$D,$D937,$E:$E,$E937,$F:$F,{"Serviced Accommodation","Non-Serviced Accommodation","SFR"}))</f>
        <v>122.60508658482036</v>
      </c>
      <c r="I937" s="530">
        <f>SUM(SUMIFS(I:I,$D:$D,$D937,$E:$E,$E937,$F:$F,{"Serviced Accommodation","Non-Serviced Accommodation","SFR"}))</f>
        <v>138.34281045498341</v>
      </c>
      <c r="J937" s="530">
        <f>SUM(SUMIFS(J:J,$D:$D,$D937,$E:$E,$E937,$F:$F,{"Serviced Accommodation","Non-Serviced Accommodation","SFR"}))</f>
        <v>348.95268378501515</v>
      </c>
      <c r="K937" s="530">
        <f>SUM(SUMIFS(K:K,$D:$D,$D937,$E:$E,$E937,$F:$F,{"Serviced Accommodation","Non-Serviced Accommodation","SFR"}))</f>
        <v>407.77405184308873</v>
      </c>
      <c r="L937" s="530">
        <f>SUM(SUMIFS(L:L,$D:$D,$D937,$E:$E,$E937,$F:$F,{"Serviced Accommodation","Non-Serviced Accommodation","SFR"}))</f>
        <v>487.79927956160299</v>
      </c>
      <c r="M937" s="530">
        <f>SUM(SUMIFS(M:M,$D:$D,$D937,$E:$E,$E937,$F:$F,{"Serviced Accommodation","Non-Serviced Accommodation","SFR"}))</f>
        <v>541.3098027364889</v>
      </c>
      <c r="N937" s="530">
        <f>SUM(SUMIFS(N:N,$D:$D,$D937,$E:$E,$E937,$F:$F,{"Serviced Accommodation","Non-Serviced Accommodation","SFR"}))</f>
        <v>671.34754050670233</v>
      </c>
      <c r="O937" s="530">
        <f>SUM(SUMIFS(O:O,$D:$D,$D937,$E:$E,$E937,$F:$F,{"Serviced Accommodation","Non-Serviced Accommodation","SFR"}))</f>
        <v>740.3584890608538</v>
      </c>
      <c r="P937" s="530">
        <f>SUM(SUMIFS(P:P,$D:$D,$D937,$E:$E,$E937,$F:$F,{"Serviced Accommodation","Non-Serviced Accommodation","SFR"}))</f>
        <v>486.90676305136793</v>
      </c>
      <c r="Q937" s="530">
        <f>SUM(SUMIFS(Q:Q,$D:$D,$D937,$E:$E,$E937,$F:$F,{"Serviced Accommodation","Non-Serviced Accommodation","SFR"}))</f>
        <v>383.18860050750874</v>
      </c>
      <c r="R937" s="530">
        <f>SUM(SUMIFS(R:R,$D:$D,$D937,$E:$E,$E937,$F:$F,{"Serviced Accommodation","Non-Serviced Accommodation","SFR"}))</f>
        <v>177.98685362515425</v>
      </c>
      <c r="S937" s="530">
        <f>SUM(SUMIFS(S:S,$D:$D,$D937,$E:$E,$E937,$F:$F,{"Serviced Accommodation","Non-Serviced Accommodation","SFR"}))</f>
        <v>143.52825823063461</v>
      </c>
      <c r="T937" s="530">
        <f>SUM(SUMIFS(T:T,$D:$D,$D937,$E:$E,$E937,$F:$F,{"Serviced Accommodation","Non-Serviced Accommodation","SFR"}))</f>
        <v>4650.1002199482209</v>
      </c>
      <c r="U937" s="530" t="s">
        <v>61</v>
      </c>
    </row>
    <row r="938" spans="1:21" ht="12.75" customHeight="1" x14ac:dyDescent="0.3">
      <c r="A938" s="530" t="str">
        <f t="shared" si="32"/>
        <v>Gwynedd.2013.Vehicle Numbers.Staying Visitor</v>
      </c>
      <c r="B938" s="530" t="s">
        <v>219</v>
      </c>
      <c r="C938" s="530" t="str">
        <f t="shared" si="33"/>
        <v>2013.Vehicle Numbers.Staying Visitor</v>
      </c>
      <c r="D938" s="530" t="s">
        <v>232</v>
      </c>
      <c r="E938" s="530" t="s">
        <v>22</v>
      </c>
      <c r="F938" s="530" t="s">
        <v>140</v>
      </c>
      <c r="G938" s="530" t="s">
        <v>140</v>
      </c>
      <c r="H938" s="530">
        <f>SUM(SUMIFS(H:H,$D:$D,$D938,$E:$E,$E938,$F:$F,{"Serviced Accommodation","Non-Serviced Accommodation","SFR"}))</f>
        <v>41.468669560543631</v>
      </c>
      <c r="I938" s="530">
        <f>SUM(SUMIFS(I:I,$D:$D,$D938,$E:$E,$E938,$F:$F,{"Serviced Accommodation","Non-Serviced Accommodation","SFR"}))</f>
        <v>42.16288909587346</v>
      </c>
      <c r="J938" s="530">
        <f>SUM(SUMIFS(J:J,$D:$D,$D938,$E:$E,$E938,$F:$F,{"Serviced Accommodation","Non-Serviced Accommodation","SFR"}))</f>
        <v>81.460664098919693</v>
      </c>
      <c r="K938" s="530">
        <f>SUM(SUMIFS(K:K,$D:$D,$D938,$E:$E,$E938,$F:$F,{"Serviced Accommodation","Non-Serviced Accommodation","SFR"}))</f>
        <v>76.551826103635776</v>
      </c>
      <c r="L938" s="530">
        <f>SUM(SUMIFS(L:L,$D:$D,$D938,$E:$E,$E938,$F:$F,{"Serviced Accommodation","Non-Serviced Accommodation","SFR"}))</f>
        <v>84.40625021095552</v>
      </c>
      <c r="M938" s="530">
        <f>SUM(SUMIFS(M:M,$D:$D,$D938,$E:$E,$E938,$F:$F,{"Serviced Accommodation","Non-Serviced Accommodation","SFR"}))</f>
        <v>92.703879550148571</v>
      </c>
      <c r="N938" s="530">
        <f>SUM(SUMIFS(N:N,$D:$D,$D938,$E:$E,$E938,$F:$F,{"Serviced Accommodation","Non-Serviced Accommodation","SFR"}))</f>
        <v>111.81411032475431</v>
      </c>
      <c r="O938" s="530">
        <f>SUM(SUMIFS(O:O,$D:$D,$D938,$E:$E,$E938,$F:$F,{"Serviced Accommodation","Non-Serviced Accommodation","SFR"}))</f>
        <v>117.10394595810081</v>
      </c>
      <c r="P938" s="530">
        <f>SUM(SUMIFS(P:P,$D:$D,$D938,$E:$E,$E938,$F:$F,{"Serviced Accommodation","Non-Serviced Accommodation","SFR"}))</f>
        <v>83.237165222619069</v>
      </c>
      <c r="Q938" s="530">
        <f>SUM(SUMIFS(Q:Q,$D:$D,$D938,$E:$E,$E938,$F:$F,{"Serviced Accommodation","Non-Serviced Accommodation","SFR"}))</f>
        <v>68.400730237374916</v>
      </c>
      <c r="R938" s="530">
        <f>SUM(SUMIFS(R:R,$D:$D,$D938,$E:$E,$E938,$F:$F,{"Serviced Accommodation","Non-Serviced Accommodation","SFR"}))</f>
        <v>47.168911479634289</v>
      </c>
      <c r="S938" s="530">
        <f>SUM(SUMIFS(S:S,$D:$D,$D938,$E:$E,$E938,$F:$F,{"Serviced Accommodation","Non-Serviced Accommodation","SFR"}))</f>
        <v>35.117267304386232</v>
      </c>
      <c r="T938" s="530">
        <f>SUM(SUMIFS(T:T,$D:$D,$D938,$E:$E,$E938,$F:$F,{"Serviced Accommodation","Non-Serviced Accommodation","SFR"}))</f>
        <v>881.5963091469464</v>
      </c>
      <c r="U938" s="530" t="s">
        <v>61</v>
      </c>
    </row>
    <row r="939" spans="1:21" ht="12.75" customHeight="1" x14ac:dyDescent="0.3">
      <c r="A939" s="530" t="str">
        <f t="shared" ref="A939:A962" si="34">B939&amp;"."&amp;D939&amp;"."&amp;E939&amp;"."&amp;F939</f>
        <v>Gwynedd.2014.Economic Impact.Staying Visitor</v>
      </c>
      <c r="B939" s="530" t="s">
        <v>219</v>
      </c>
      <c r="C939" s="530" t="str">
        <f t="shared" ref="C939:C962" si="35">D939&amp;"."&amp;E939&amp;"."&amp;F939</f>
        <v>2014.Economic Impact.Staying Visitor</v>
      </c>
      <c r="D939" s="530" t="s">
        <v>233</v>
      </c>
      <c r="E939" s="530" t="s">
        <v>17</v>
      </c>
      <c r="F939" s="530" t="s">
        <v>140</v>
      </c>
      <c r="G939" s="530" t="s">
        <v>140</v>
      </c>
      <c r="H939" s="530">
        <f>SUM(SUMIFS(H:H,$D:$D,$D939,$E:$E,$E939,$F:$F,{"Serviced Accommodation","Non-Serviced Accommodation","SFR"}))</f>
        <v>18990.731120555964</v>
      </c>
      <c r="I939" s="530">
        <f>SUM(SUMIFS(I:I,$D:$D,$D939,$E:$E,$E939,$F:$F,{"Serviced Accommodation","Non-Serviced Accommodation","SFR"}))</f>
        <v>26136.847979366266</v>
      </c>
      <c r="J939" s="530">
        <f>SUM(SUMIFS(J:J,$D:$D,$D939,$E:$E,$E939,$F:$F,{"Serviced Accommodation","Non-Serviced Accommodation","SFR"}))</f>
        <v>66078.319367159391</v>
      </c>
      <c r="K939" s="530">
        <f>SUM(SUMIFS(K:K,$D:$D,$D939,$E:$E,$E939,$F:$F,{"Serviced Accommodation","Non-Serviced Accommodation","SFR"}))</f>
        <v>69827.634591599868</v>
      </c>
      <c r="L939" s="530">
        <f>SUM(SUMIFS(L:L,$D:$D,$D939,$E:$E,$E939,$F:$F,{"Serviced Accommodation","Non-Serviced Accommodation","SFR"}))</f>
        <v>80569.738829962735</v>
      </c>
      <c r="M939" s="530">
        <f>SUM(SUMIFS(M:M,$D:$D,$D939,$E:$E,$E939,$F:$F,{"Serviced Accommodation","Non-Serviced Accommodation","SFR"}))</f>
        <v>84864.185476094674</v>
      </c>
      <c r="N939" s="530">
        <f>SUM(SUMIFS(N:N,$D:$D,$D939,$E:$E,$E939,$F:$F,{"Serviced Accommodation","Non-Serviced Accommodation","SFR"}))</f>
        <v>125721.50231091613</v>
      </c>
      <c r="O939" s="530">
        <f>SUM(SUMIFS(O:O,$D:$D,$D939,$E:$E,$E939,$F:$F,{"Serviced Accommodation","Non-Serviced Accommodation","SFR"}))</f>
        <v>140061.72228595251</v>
      </c>
      <c r="P939" s="530">
        <f>SUM(SUMIFS(P:P,$D:$D,$D939,$E:$E,$E939,$F:$F,{"Serviced Accommodation","Non-Serviced Accommodation","SFR"}))</f>
        <v>93324.587612628515</v>
      </c>
      <c r="Q939" s="530">
        <f>SUM(SUMIFS(Q:Q,$D:$D,$D939,$E:$E,$E939,$F:$F,{"Serviced Accommodation","Non-Serviced Accommodation","SFR"}))</f>
        <v>59928.31818118519</v>
      </c>
      <c r="R939" s="530">
        <f>SUM(SUMIFS(R:R,$D:$D,$D939,$E:$E,$E939,$F:$F,{"Serviced Accommodation","Non-Serviced Accommodation","SFR"}))</f>
        <v>26514.382661749078</v>
      </c>
      <c r="S939" s="530">
        <f>SUM(SUMIFS(S:S,$D:$D,$D939,$E:$E,$E939,$F:$F,{"Serviced Accommodation","Non-Serviced Accommodation","SFR"}))</f>
        <v>30384.837025745554</v>
      </c>
      <c r="T939" s="530">
        <f>SUM(SUMIFS(T:T,$D:$D,$D939,$E:$E,$E939,$F:$F,{"Serviced Accommodation","Non-Serviced Accommodation","SFR"}))</f>
        <v>822402.80744291574</v>
      </c>
      <c r="U939" s="530" t="s">
        <v>57</v>
      </c>
    </row>
    <row r="940" spans="1:21" ht="12.75" customHeight="1" x14ac:dyDescent="0.3">
      <c r="A940" s="530" t="str">
        <f t="shared" si="34"/>
        <v>Gwynedd.2014.Employment.Staying Visitor</v>
      </c>
      <c r="B940" s="530" t="s">
        <v>219</v>
      </c>
      <c r="C940" s="530" t="str">
        <f t="shared" si="35"/>
        <v>2014.Employment.Staying Visitor</v>
      </c>
      <c r="D940" s="530" t="s">
        <v>233</v>
      </c>
      <c r="E940" s="530" t="s">
        <v>20</v>
      </c>
      <c r="F940" s="530" t="s">
        <v>140</v>
      </c>
      <c r="G940" s="530" t="s">
        <v>140</v>
      </c>
      <c r="H940" s="530">
        <f>SUM(SUMIFS(H:H,$D:$D,$D940,$E:$E,$E940,$F:$F,{"Serviced Accommodation","Non-Serviced Accommodation","SFR"}))</f>
        <v>5748.4051155736461</v>
      </c>
      <c r="I940" s="530">
        <f>SUM(SUMIFS(I:I,$D:$D,$D940,$E:$E,$E940,$F:$F,{"Serviced Accommodation","Non-Serviced Accommodation","SFR"}))</f>
        <v>6385.0317814743294</v>
      </c>
      <c r="J940" s="530">
        <f>SUM(SUMIFS(J:J,$D:$D,$D940,$E:$E,$E940,$F:$F,{"Serviced Accommodation","Non-Serviced Accommodation","SFR"}))</f>
        <v>10910.39888749837</v>
      </c>
      <c r="K940" s="530">
        <f>SUM(SUMIFS(K:K,$D:$D,$D940,$E:$E,$E940,$F:$F,{"Serviced Accommodation","Non-Serviced Accommodation","SFR"}))</f>
        <v>11420.190523839567</v>
      </c>
      <c r="L940" s="530">
        <f>SUM(SUMIFS(L:L,$D:$D,$D940,$E:$E,$E940,$F:$F,{"Serviced Accommodation","Non-Serviced Accommodation","SFR"}))</f>
        <v>12571.341414271725</v>
      </c>
      <c r="M940" s="530">
        <f>SUM(SUMIFS(M:M,$D:$D,$D940,$E:$E,$E940,$F:$F,{"Serviced Accommodation","Non-Serviced Accommodation","SFR"}))</f>
        <v>12890.396814979</v>
      </c>
      <c r="N940" s="530">
        <f>SUM(SUMIFS(N:N,$D:$D,$D940,$E:$E,$E940,$F:$F,{"Serviced Accommodation","Non-Serviced Accommodation","SFR"}))</f>
        <v>15707.155065688496</v>
      </c>
      <c r="O940" s="530">
        <f>SUM(SUMIFS(O:O,$D:$D,$D940,$E:$E,$E940,$F:$F,{"Serviced Accommodation","Non-Serviced Accommodation","SFR"}))</f>
        <v>18514.468507436904</v>
      </c>
      <c r="P940" s="530">
        <f>SUM(SUMIFS(P:P,$D:$D,$D940,$E:$E,$E940,$F:$F,{"Serviced Accommodation","Non-Serviced Accommodation","SFR"}))</f>
        <v>12306.740795776484</v>
      </c>
      <c r="Q940" s="530">
        <f>SUM(SUMIFS(Q:Q,$D:$D,$D940,$E:$E,$E940,$F:$F,{"Serviced Accommodation","Non-Serviced Accommodation","SFR"}))</f>
        <v>10405.717424062977</v>
      </c>
      <c r="R940" s="530">
        <f>SUM(SUMIFS(R:R,$D:$D,$D940,$E:$E,$E940,$F:$F,{"Serviced Accommodation","Non-Serviced Accommodation","SFR"}))</f>
        <v>6622.9905095663144</v>
      </c>
      <c r="S940" s="530">
        <f>SUM(SUMIFS(S:S,$D:$D,$D940,$E:$E,$E940,$F:$F,{"Serviced Accommodation","Non-Serviced Accommodation","SFR"}))</f>
        <v>6745.8624814142559</v>
      </c>
      <c r="T940" s="530">
        <f>SUM(SUMIFS(T:T,$D:$D,$D940,$E:$E,$E940,$F:$F,{"Serviced Accommodation","Non-Serviced Accommodation","SFR"}))</f>
        <v>10852.391610131841</v>
      </c>
      <c r="U940" s="530" t="s">
        <v>59</v>
      </c>
    </row>
    <row r="941" spans="1:21" ht="12.75" customHeight="1" x14ac:dyDescent="0.3">
      <c r="A941" s="530" t="str">
        <f t="shared" si="34"/>
        <v>Gwynedd.2014.Visitor Days.Staying Visitor</v>
      </c>
      <c r="B941" s="530" t="s">
        <v>219</v>
      </c>
      <c r="C941" s="530" t="str">
        <f t="shared" si="35"/>
        <v>2014.Visitor Days.Staying Visitor</v>
      </c>
      <c r="D941" s="530" t="s">
        <v>233</v>
      </c>
      <c r="E941" s="530" t="s">
        <v>171</v>
      </c>
      <c r="F941" s="530" t="s">
        <v>140</v>
      </c>
      <c r="G941" s="530" t="s">
        <v>140</v>
      </c>
      <c r="H941" s="530">
        <f>SUM(SUMIFS(H:H,$D:$D,$D941,$E:$E,$E941,$F:$F,{"Serviced Accommodation","Non-Serviced Accommodation","SFR"}))</f>
        <v>463.27392881290558</v>
      </c>
      <c r="I941" s="530">
        <f>SUM(SUMIFS(I:I,$D:$D,$D941,$E:$E,$E941,$F:$F,{"Serviced Accommodation","Non-Serviced Accommodation","SFR"}))</f>
        <v>570.25001215829673</v>
      </c>
      <c r="J941" s="530">
        <f>SUM(SUMIFS(J:J,$D:$D,$D941,$E:$E,$E941,$F:$F,{"Serviced Accommodation","Non-Serviced Accommodation","SFR"}))</f>
        <v>1505.9118506398474</v>
      </c>
      <c r="K941" s="530">
        <f>SUM(SUMIFS(K:K,$D:$D,$D941,$E:$E,$E941,$F:$F,{"Serviced Accommodation","Non-Serviced Accommodation","SFR"}))</f>
        <v>1615.6136859255037</v>
      </c>
      <c r="L941" s="530">
        <f>SUM(SUMIFS(L:L,$D:$D,$D941,$E:$E,$E941,$F:$F,{"Serviced Accommodation","Non-Serviced Accommodation","SFR"}))</f>
        <v>1882.4194295192096</v>
      </c>
      <c r="M941" s="530">
        <f>SUM(SUMIFS(M:M,$D:$D,$D941,$E:$E,$E941,$F:$F,{"Serviced Accommodation","Non-Serviced Accommodation","SFR"}))</f>
        <v>1970.5314012214581</v>
      </c>
      <c r="N941" s="530">
        <f>SUM(SUMIFS(N:N,$D:$D,$D941,$E:$E,$E941,$F:$F,{"Serviced Accommodation","Non-Serviced Accommodation","SFR"}))</f>
        <v>2623.9279124961181</v>
      </c>
      <c r="O941" s="530">
        <f>SUM(SUMIFS(O:O,$D:$D,$D941,$E:$E,$E941,$F:$F,{"Serviced Accommodation","Non-Serviced Accommodation","SFR"}))</f>
        <v>2886.404107410372</v>
      </c>
      <c r="P941" s="530">
        <f>SUM(SUMIFS(P:P,$D:$D,$D941,$E:$E,$E941,$F:$F,{"Serviced Accommodation","Non-Serviced Accommodation","SFR"}))</f>
        <v>1849.7896543983998</v>
      </c>
      <c r="Q941" s="530">
        <f>SUM(SUMIFS(Q:Q,$D:$D,$D941,$E:$E,$E941,$F:$F,{"Serviced Accommodation","Non-Serviced Accommodation","SFR"}))</f>
        <v>1414.3757053166305</v>
      </c>
      <c r="R941" s="530">
        <f>SUM(SUMIFS(R:R,$D:$D,$D941,$E:$E,$E941,$F:$F,{"Serviced Accommodation","Non-Serviced Accommodation","SFR"}))</f>
        <v>625.55091957321667</v>
      </c>
      <c r="S941" s="530">
        <f>SUM(SUMIFS(S:S,$D:$D,$D941,$E:$E,$E941,$F:$F,{"Serviced Accommodation","Non-Serviced Accommodation","SFR"}))</f>
        <v>653.22215904287486</v>
      </c>
      <c r="T941" s="530">
        <f>SUM(SUMIFS(T:T,$D:$D,$D941,$E:$E,$E941,$F:$F,{"Serviced Accommodation","Non-Serviced Accommodation","SFR"}))</f>
        <v>18061.270766514834</v>
      </c>
      <c r="U941" s="530" t="s">
        <v>61</v>
      </c>
    </row>
    <row r="942" spans="1:21" ht="12.75" customHeight="1" x14ac:dyDescent="0.3">
      <c r="A942" s="530" t="str">
        <f t="shared" si="34"/>
        <v>Gwynedd.2014.Visitor Numbers.Staying Visitor</v>
      </c>
      <c r="B942" s="530" t="s">
        <v>219</v>
      </c>
      <c r="C942" s="530" t="str">
        <f t="shared" si="35"/>
        <v>2014.Visitor Numbers.Staying Visitor</v>
      </c>
      <c r="D942" s="530" t="s">
        <v>233</v>
      </c>
      <c r="E942" s="530" t="s">
        <v>172</v>
      </c>
      <c r="F942" s="530" t="s">
        <v>140</v>
      </c>
      <c r="G942" s="530" t="s">
        <v>140</v>
      </c>
      <c r="H942" s="530">
        <f>SUM(SUMIFS(H:H,$D:$D,$D942,$E:$E,$E942,$F:$F,{"Serviced Accommodation","Non-Serviced Accommodation","SFR"}))</f>
        <v>151.7590639019817</v>
      </c>
      <c r="I942" s="530">
        <f>SUM(SUMIFS(I:I,$D:$D,$D942,$E:$E,$E942,$F:$F,{"Serviced Accommodation","Non-Serviced Accommodation","SFR"}))</f>
        <v>161.21959562106025</v>
      </c>
      <c r="J942" s="530">
        <f>SUM(SUMIFS(J:J,$D:$D,$D942,$E:$E,$E942,$F:$F,{"Serviced Accommodation","Non-Serviced Accommodation","SFR"}))</f>
        <v>333.46709486829388</v>
      </c>
      <c r="K942" s="530">
        <f>SUM(SUMIFS(K:K,$D:$D,$D942,$E:$E,$E942,$F:$F,{"Serviced Accommodation","Non-Serviced Accommodation","SFR"}))</f>
        <v>294.16295979405578</v>
      </c>
      <c r="L942" s="530">
        <f>SUM(SUMIFS(L:L,$D:$D,$D942,$E:$E,$E942,$F:$F,{"Serviced Accommodation","Non-Serviced Accommodation","SFR"}))</f>
        <v>320.31774234456771</v>
      </c>
      <c r="M942" s="530">
        <f>SUM(SUMIFS(M:M,$D:$D,$D942,$E:$E,$E942,$F:$F,{"Serviced Accommodation","Non-Serviced Accommodation","SFR"}))</f>
        <v>332.89317539617991</v>
      </c>
      <c r="N942" s="530">
        <f>SUM(SUMIFS(N:N,$D:$D,$D942,$E:$E,$E942,$F:$F,{"Serviced Accommodation","Non-Serviced Accommodation","SFR"}))</f>
        <v>432.1198800317016</v>
      </c>
      <c r="O942" s="530">
        <f>SUM(SUMIFS(O:O,$D:$D,$D942,$E:$E,$E942,$F:$F,{"Serviced Accommodation","Non-Serviced Accommodation","SFR"}))</f>
        <v>449.80656866552448</v>
      </c>
      <c r="P942" s="530">
        <f>SUM(SUMIFS(P:P,$D:$D,$D942,$E:$E,$E942,$F:$F,{"Serviced Accommodation","Non-Serviced Accommodation","SFR"}))</f>
        <v>314.76305592462234</v>
      </c>
      <c r="Q942" s="530">
        <f>SUM(SUMIFS(Q:Q,$D:$D,$D942,$E:$E,$E942,$F:$F,{"Serviced Accommodation","Non-Serviced Accommodation","SFR"}))</f>
        <v>241.04016763746887</v>
      </c>
      <c r="R942" s="530">
        <f>SUM(SUMIFS(R:R,$D:$D,$D942,$E:$E,$E942,$F:$F,{"Serviced Accommodation","Non-Serviced Accommodation","SFR"}))</f>
        <v>160.29255321252012</v>
      </c>
      <c r="S942" s="530">
        <f>SUM(SUMIFS(S:S,$D:$D,$D942,$E:$E,$E942,$F:$F,{"Serviced Accommodation","Non-Serviced Accommodation","SFR"}))</f>
        <v>142.81089757219695</v>
      </c>
      <c r="T942" s="530">
        <f>SUM(SUMIFS(T:T,$D:$D,$D942,$E:$E,$E942,$F:$F,{"Serviced Accommodation","Non-Serviced Accommodation","SFR"}))</f>
        <v>3334.6527549701736</v>
      </c>
      <c r="U942" s="530" t="s">
        <v>61</v>
      </c>
    </row>
    <row r="943" spans="1:21" ht="12.75" customHeight="1" x14ac:dyDescent="0.3">
      <c r="A943" s="530" t="str">
        <f t="shared" si="34"/>
        <v>Gwynedd.2014.Vehicle Days.Staying Visitor</v>
      </c>
      <c r="B943" s="530" t="s">
        <v>219</v>
      </c>
      <c r="C943" s="530" t="str">
        <f t="shared" si="35"/>
        <v>2014.Vehicle Days.Staying Visitor</v>
      </c>
      <c r="D943" s="530" t="s">
        <v>233</v>
      </c>
      <c r="E943" s="530" t="s">
        <v>21</v>
      </c>
      <c r="F943" s="530" t="s">
        <v>140</v>
      </c>
      <c r="G943" s="530" t="s">
        <v>140</v>
      </c>
      <c r="H943" s="530">
        <f>SUM(SUMIFS(H:H,$D:$D,$D943,$E:$E,$E943,$F:$F,{"Serviced Accommodation","Non-Serviced Accommodation","SFR"}))</f>
        <v>121.02544050606727</v>
      </c>
      <c r="I943" s="530">
        <f>SUM(SUMIFS(I:I,$D:$D,$D943,$E:$E,$E943,$F:$F,{"Serviced Accommodation","Non-Serviced Accommodation","SFR"}))</f>
        <v>166.35993205435065</v>
      </c>
      <c r="J943" s="530">
        <f>SUM(SUMIFS(J:J,$D:$D,$D943,$E:$E,$E943,$F:$F,{"Serviced Accommodation","Non-Serviced Accommodation","SFR"}))</f>
        <v>418.89184202951509</v>
      </c>
      <c r="K943" s="530">
        <f>SUM(SUMIFS(K:K,$D:$D,$D943,$E:$E,$E943,$F:$F,{"Serviced Accommodation","Non-Serviced Accommodation","SFR"}))</f>
        <v>425.23598559326092</v>
      </c>
      <c r="L943" s="530">
        <f>SUM(SUMIFS(L:L,$D:$D,$D943,$E:$E,$E943,$F:$F,{"Serviced Accommodation","Non-Serviced Accommodation","SFR"}))</f>
        <v>509.41311435142728</v>
      </c>
      <c r="M943" s="530">
        <f>SUM(SUMIFS(M:M,$D:$D,$D943,$E:$E,$E943,$F:$F,{"Serviced Accommodation","Non-Serviced Accommodation","SFR"}))</f>
        <v>530.37803168432526</v>
      </c>
      <c r="N943" s="530">
        <f>SUM(SUMIFS(N:N,$D:$D,$D943,$E:$E,$E943,$F:$F,{"Serviced Accommodation","Non-Serviced Accommodation","SFR"}))</f>
        <v>690.84069490118361</v>
      </c>
      <c r="O943" s="530">
        <f>SUM(SUMIFS(O:O,$D:$D,$D943,$E:$E,$E943,$F:$F,{"Serviced Accommodation","Non-Serviced Accommodation","SFR"}))</f>
        <v>755.65642857398177</v>
      </c>
      <c r="P943" s="530">
        <f>SUM(SUMIFS(P:P,$D:$D,$D943,$E:$E,$E943,$F:$F,{"Serviced Accommodation","Non-Serviced Accommodation","SFR"}))</f>
        <v>493.76940172221748</v>
      </c>
      <c r="Q943" s="530">
        <f>SUM(SUMIFS(Q:Q,$D:$D,$D943,$E:$E,$E943,$F:$F,{"Serviced Accommodation","Non-Serviced Accommodation","SFR"}))</f>
        <v>370.67655589168754</v>
      </c>
      <c r="R943" s="530">
        <f>SUM(SUMIFS(R:R,$D:$D,$D943,$E:$E,$E943,$F:$F,{"Serviced Accommodation","Non-Serviced Accommodation","SFR"}))</f>
        <v>163.81043535125119</v>
      </c>
      <c r="S943" s="530">
        <f>SUM(SUMIFS(S:S,$D:$D,$D943,$E:$E,$E943,$F:$F,{"Serviced Accommodation","Non-Serviced Accommodation","SFR"}))</f>
        <v>159.12646138152934</v>
      </c>
      <c r="T943" s="530">
        <f>SUM(SUMIFS(T:T,$D:$D,$D943,$E:$E,$E943,$F:$F,{"Serviced Accommodation","Non-Serviced Accommodation","SFR"}))</f>
        <v>4805.1843240407979</v>
      </c>
      <c r="U943" s="530" t="s">
        <v>61</v>
      </c>
    </row>
    <row r="944" spans="1:21" ht="12.75" customHeight="1" x14ac:dyDescent="0.3">
      <c r="A944" s="530" t="str">
        <f t="shared" si="34"/>
        <v>Gwynedd.2014.Vehicle Numbers.Staying Visitor</v>
      </c>
      <c r="B944" s="530" t="s">
        <v>219</v>
      </c>
      <c r="C944" s="530" t="str">
        <f t="shared" si="35"/>
        <v>2014.Vehicle Numbers.Staying Visitor</v>
      </c>
      <c r="D944" s="530" t="s">
        <v>233</v>
      </c>
      <c r="E944" s="530" t="s">
        <v>22</v>
      </c>
      <c r="F944" s="530" t="s">
        <v>140</v>
      </c>
      <c r="G944" s="530" t="s">
        <v>140</v>
      </c>
      <c r="H944" s="530">
        <f>SUM(SUMIFS(H:H,$D:$D,$D944,$E:$E,$E944,$F:$F,{"Serviced Accommodation","Non-Serviced Accommodation","SFR"}))</f>
        <v>39.9251115235949</v>
      </c>
      <c r="I944" s="530">
        <f>SUM(SUMIFS(I:I,$D:$D,$D944,$E:$E,$E944,$F:$F,{"Serviced Accommodation","Non-Serviced Accommodation","SFR"}))</f>
        <v>47.810295881489758</v>
      </c>
      <c r="J944" s="530">
        <f>SUM(SUMIFS(J:J,$D:$D,$D944,$E:$E,$E944,$F:$F,{"Serviced Accommodation","Non-Serviced Accommodation","SFR"}))</f>
        <v>94.034431547351204</v>
      </c>
      <c r="K944" s="530">
        <f>SUM(SUMIFS(K:K,$D:$D,$D944,$E:$E,$E944,$F:$F,{"Serviced Accommodation","Non-Serviced Accommodation","SFR"}))</f>
        <v>77.90412787718158</v>
      </c>
      <c r="L944" s="530">
        <f>SUM(SUMIFS(L:L,$D:$D,$D944,$E:$E,$E944,$F:$F,{"Serviced Accommodation","Non-Serviced Accommodation","SFR"}))</f>
        <v>87.459120946411204</v>
      </c>
      <c r="M944" s="530">
        <f>SUM(SUMIFS(M:M,$D:$D,$D944,$E:$E,$E944,$F:$F,{"Serviced Accommodation","Non-Serviced Accommodation","SFR"}))</f>
        <v>90.306886794554458</v>
      </c>
      <c r="N944" s="530">
        <f>SUM(SUMIFS(N:N,$D:$D,$D944,$E:$E,$E944,$F:$F,{"Serviced Accommodation","Non-Serviced Accommodation","SFR"}))</f>
        <v>114.13990105671442</v>
      </c>
      <c r="O944" s="530">
        <f>SUM(SUMIFS(O:O,$D:$D,$D944,$E:$E,$E944,$F:$F,{"Serviced Accommodation","Non-Serviced Accommodation","SFR"}))</f>
        <v>118.22295667101666</v>
      </c>
      <c r="P944" s="530">
        <f>SUM(SUMIFS(P:P,$D:$D,$D944,$E:$E,$E944,$F:$F,{"Serviced Accommodation","Non-Serviced Accommodation","SFR"}))</f>
        <v>84.075246658737882</v>
      </c>
      <c r="Q944" s="530">
        <f>SUM(SUMIFS(Q:Q,$D:$D,$D944,$E:$E,$E944,$F:$F,{"Serviced Accommodation","Non-Serviced Accommodation","SFR"}))</f>
        <v>64.581153899861107</v>
      </c>
      <c r="R944" s="530">
        <f>SUM(SUMIFS(R:R,$D:$D,$D944,$E:$E,$E944,$F:$F,{"Serviced Accommodation","Non-Serviced Accommodation","SFR"}))</f>
        <v>42.63193009660791</v>
      </c>
      <c r="S944" s="530">
        <f>SUM(SUMIFS(S:S,$D:$D,$D944,$E:$E,$E944,$F:$F,{"Serviced Accommodation","Non-Serviced Accommodation","SFR"}))</f>
        <v>35.826723873097706</v>
      </c>
      <c r="T944" s="530">
        <f>SUM(SUMIFS(T:T,$D:$D,$D944,$E:$E,$E944,$F:$F,{"Serviced Accommodation","Non-Serviced Accommodation","SFR"}))</f>
        <v>896.91788682661888</v>
      </c>
      <c r="U944" s="530" t="s">
        <v>61</v>
      </c>
    </row>
    <row r="945" spans="1:21" ht="12.75" customHeight="1" x14ac:dyDescent="0.3">
      <c r="A945" s="530" t="str">
        <f t="shared" si="34"/>
        <v>Gwynedd.2015.Economic Impact.Staying Visitor</v>
      </c>
      <c r="B945" s="530" t="s">
        <v>219</v>
      </c>
      <c r="C945" s="530" t="str">
        <f t="shared" si="35"/>
        <v>2015.Economic Impact.Staying Visitor</v>
      </c>
      <c r="D945" s="530" t="s">
        <v>234</v>
      </c>
      <c r="E945" s="530" t="s">
        <v>17</v>
      </c>
      <c r="F945" s="530" t="s">
        <v>140</v>
      </c>
      <c r="G945" s="530" t="s">
        <v>140</v>
      </c>
      <c r="H945" s="530">
        <f>SUM(SUMIFS(H:H,$D:$D,$D945,$E:$E,$E945,$F:$F,{"Serviced Accommodation","Non-Serviced Accommodation","SFR"}))</f>
        <v>17534.084948939904</v>
      </c>
      <c r="I945" s="530">
        <f>SUM(SUMIFS(I:I,$D:$D,$D945,$E:$E,$E945,$F:$F,{"Serviced Accommodation","Non-Serviced Accommodation","SFR"}))</f>
        <v>24052.673786275009</v>
      </c>
      <c r="J945" s="530">
        <f>SUM(SUMIFS(J:J,$D:$D,$D945,$E:$E,$E945,$F:$F,{"Serviced Accommodation","Non-Serviced Accommodation","SFR"}))</f>
        <v>66395.563828942017</v>
      </c>
      <c r="K945" s="530">
        <f>SUM(SUMIFS(K:K,$D:$D,$D945,$E:$E,$E945,$F:$F,{"Serviced Accommodation","Non-Serviced Accommodation","SFR"}))</f>
        <v>61121.585060831057</v>
      </c>
      <c r="L945" s="530">
        <f>SUM(SUMIFS(L:L,$D:$D,$D945,$E:$E,$E945,$F:$F,{"Serviced Accommodation","Non-Serviced Accommodation","SFR"}))</f>
        <v>76451.718988169712</v>
      </c>
      <c r="M945" s="530">
        <f>SUM(SUMIFS(M:M,$D:$D,$D945,$E:$E,$E945,$F:$F,{"Serviced Accommodation","Non-Serviced Accommodation","SFR"}))</f>
        <v>80811.814395530208</v>
      </c>
      <c r="N945" s="530">
        <f>SUM(SUMIFS(N:N,$D:$D,$D945,$E:$E,$E945,$F:$F,{"Serviced Accommodation","Non-Serviced Accommodation","SFR"}))</f>
        <v>130250.73737045297</v>
      </c>
      <c r="O945" s="530">
        <f>SUM(SUMIFS(O:O,$D:$D,$D945,$E:$E,$E945,$F:$F,{"Serviced Accommodation","Non-Serviced Accommodation","SFR"}))</f>
        <v>144534.8129458921</v>
      </c>
      <c r="P945" s="530">
        <f>SUM(SUMIFS(P:P,$D:$D,$D945,$E:$E,$E945,$F:$F,{"Serviced Accommodation","Non-Serviced Accommodation","SFR"}))</f>
        <v>79904.800389324955</v>
      </c>
      <c r="Q945" s="530">
        <f>SUM(SUMIFS(Q:Q,$D:$D,$D945,$E:$E,$E945,$F:$F,{"Serviced Accommodation","Non-Serviced Accommodation","SFR"}))</f>
        <v>61439.630223610424</v>
      </c>
      <c r="R945" s="530">
        <f>SUM(SUMIFS(R:R,$D:$D,$D945,$E:$E,$E945,$F:$F,{"Serviced Accommodation","Non-Serviced Accommodation","SFR"}))</f>
        <v>36562.993936811392</v>
      </c>
      <c r="S945" s="530">
        <f>SUM(SUMIFS(S:S,$D:$D,$D945,$E:$E,$E945,$F:$F,{"Serviced Accommodation","Non-Serviced Accommodation","SFR"}))</f>
        <v>27679.021993664435</v>
      </c>
      <c r="T945" s="530">
        <f>SUM(SUMIFS(T:T,$D:$D,$D945,$E:$E,$E945,$F:$F,{"Serviced Accommodation","Non-Serviced Accommodation","SFR"}))</f>
        <v>806739.43786844413</v>
      </c>
      <c r="U945" s="530" t="s">
        <v>57</v>
      </c>
    </row>
    <row r="946" spans="1:21" ht="12.75" customHeight="1" x14ac:dyDescent="0.3">
      <c r="A946" s="530" t="str">
        <f t="shared" si="34"/>
        <v>Gwynedd.2015.Employment.Staying Visitor</v>
      </c>
      <c r="B946" s="530" t="s">
        <v>219</v>
      </c>
      <c r="C946" s="530" t="str">
        <f t="shared" si="35"/>
        <v>2015.Employment.Staying Visitor</v>
      </c>
      <c r="D946" s="530" t="s">
        <v>234</v>
      </c>
      <c r="E946" s="530" t="s">
        <v>20</v>
      </c>
      <c r="F946" s="530" t="s">
        <v>140</v>
      </c>
      <c r="G946" s="530" t="s">
        <v>140</v>
      </c>
      <c r="H946" s="530">
        <f>SUM(SUMIFS(H:H,$D:$D,$D946,$E:$E,$E946,$F:$F,{"Serviced Accommodation","Non-Serviced Accommodation","SFR"}))</f>
        <v>5680.9898834220257</v>
      </c>
      <c r="I946" s="530">
        <f>SUM(SUMIFS(I:I,$D:$D,$D946,$E:$E,$E946,$F:$F,{"Serviced Accommodation","Non-Serviced Accommodation","SFR"}))</f>
        <v>6278.9285706548108</v>
      </c>
      <c r="J946" s="530">
        <f>SUM(SUMIFS(J:J,$D:$D,$D946,$E:$E,$E946,$F:$F,{"Serviced Accommodation","Non-Serviced Accommodation","SFR"}))</f>
        <v>11087.271042309529</v>
      </c>
      <c r="K946" s="530">
        <f>SUM(SUMIFS(K:K,$D:$D,$D946,$E:$E,$E946,$F:$F,{"Serviced Accommodation","Non-Serviced Accommodation","SFR"}))</f>
        <v>10710.729409461053</v>
      </c>
      <c r="L946" s="530">
        <f>SUM(SUMIFS(L:L,$D:$D,$D946,$E:$E,$E946,$F:$F,{"Serviced Accommodation","Non-Serviced Accommodation","SFR"}))</f>
        <v>12337.822164778288</v>
      </c>
      <c r="M946" s="530">
        <f>SUM(SUMIFS(M:M,$D:$D,$D946,$E:$E,$E946,$F:$F,{"Serviced Accommodation","Non-Serviced Accommodation","SFR"}))</f>
        <v>12621.317230776245</v>
      </c>
      <c r="N946" s="530">
        <f>SUM(SUMIFS(N:N,$D:$D,$D946,$E:$E,$E946,$F:$F,{"Serviced Accommodation","Non-Serviced Accommodation","SFR"}))</f>
        <v>16672.436935552789</v>
      </c>
      <c r="O946" s="530">
        <f>SUM(SUMIFS(O:O,$D:$D,$D946,$E:$E,$E946,$F:$F,{"Serviced Accommodation","Non-Serviced Accommodation","SFR"}))</f>
        <v>19588.7180993687</v>
      </c>
      <c r="P946" s="530">
        <f>SUM(SUMIFS(P:P,$D:$D,$D946,$E:$E,$E946,$F:$F,{"Serviced Accommodation","Non-Serviced Accommodation","SFR"}))</f>
        <v>11454.049789951068</v>
      </c>
      <c r="Q946" s="530">
        <f>SUM(SUMIFS(Q:Q,$D:$D,$D946,$E:$E,$E946,$F:$F,{"Serviced Accommodation","Non-Serviced Accommodation","SFR"}))</f>
        <v>10656.09473553213</v>
      </c>
      <c r="R946" s="530">
        <f>SUM(SUMIFS(R:R,$D:$D,$D946,$E:$E,$E946,$F:$F,{"Serviced Accommodation","Non-Serviced Accommodation","SFR"}))</f>
        <v>7744.0975282029649</v>
      </c>
      <c r="S946" s="530">
        <f>SUM(SUMIFS(S:S,$D:$D,$D946,$E:$E,$E946,$F:$F,{"Serviced Accommodation","Non-Serviced Accommodation","SFR"}))</f>
        <v>6745.2317584434895</v>
      </c>
      <c r="T946" s="530">
        <f>SUM(SUMIFS(T:T,$D:$D,$D946,$E:$E,$E946,$F:$F,{"Serviced Accommodation","Non-Serviced Accommodation","SFR"}))</f>
        <v>10964.807262371092</v>
      </c>
      <c r="U946" s="530" t="s">
        <v>59</v>
      </c>
    </row>
    <row r="947" spans="1:21" ht="12.75" customHeight="1" x14ac:dyDescent="0.3">
      <c r="A947" s="530" t="str">
        <f t="shared" si="34"/>
        <v>Gwynedd.2015.Visitor Days.Staying Visitor</v>
      </c>
      <c r="B947" s="530" t="s">
        <v>219</v>
      </c>
      <c r="C947" s="530" t="str">
        <f t="shared" si="35"/>
        <v>2015.Visitor Days.Staying Visitor</v>
      </c>
      <c r="D947" s="530" t="s">
        <v>234</v>
      </c>
      <c r="E947" s="530" t="s">
        <v>171</v>
      </c>
      <c r="F947" s="530" t="s">
        <v>140</v>
      </c>
      <c r="G947" s="530" t="s">
        <v>140</v>
      </c>
      <c r="H947" s="530">
        <f>SUM(SUMIFS(H:H,$D:$D,$D947,$E:$E,$E947,$F:$F,{"Serviced Accommodation","Non-Serviced Accommodation","SFR"}))</f>
        <v>433.62419836844754</v>
      </c>
      <c r="I947" s="530">
        <f>SUM(SUMIFS(I:I,$D:$D,$D947,$E:$E,$E947,$F:$F,{"Serviced Accommodation","Non-Serviced Accommodation","SFR"}))</f>
        <v>528.04834163865451</v>
      </c>
      <c r="J947" s="530">
        <f>SUM(SUMIFS(J:J,$D:$D,$D947,$E:$E,$E947,$F:$F,{"Serviced Accommodation","Non-Serviced Accommodation","SFR"}))</f>
        <v>1493.5323260643347</v>
      </c>
      <c r="K947" s="530">
        <f>SUM(SUMIFS(K:K,$D:$D,$D947,$E:$E,$E947,$F:$F,{"Serviced Accommodation","Non-Serviced Accommodation","SFR"}))</f>
        <v>1428.7955784473095</v>
      </c>
      <c r="L947" s="530">
        <f>SUM(SUMIFS(L:L,$D:$D,$D947,$E:$E,$E947,$F:$F,{"Serviced Accommodation","Non-Serviced Accommodation","SFR"}))</f>
        <v>1781.5614938920357</v>
      </c>
      <c r="M947" s="530">
        <f>SUM(SUMIFS(M:M,$D:$D,$D947,$E:$E,$E947,$F:$F,{"Serviced Accommodation","Non-Serviced Accommodation","SFR"}))</f>
        <v>1857.5374719819445</v>
      </c>
      <c r="N947" s="530">
        <f>SUM(SUMIFS(N:N,$D:$D,$D947,$E:$E,$E947,$F:$F,{"Serviced Accommodation","Non-Serviced Accommodation","SFR"}))</f>
        <v>2667.6299377730784</v>
      </c>
      <c r="O947" s="530">
        <f>SUM(SUMIFS(O:O,$D:$D,$D947,$E:$E,$E947,$F:$F,{"Serviced Accommodation","Non-Serviced Accommodation","SFR"}))</f>
        <v>2930.4933229778499</v>
      </c>
      <c r="P947" s="530">
        <f>SUM(SUMIFS(P:P,$D:$D,$D947,$E:$E,$E947,$F:$F,{"Serviced Accommodation","Non-Serviced Accommodation","SFR"}))</f>
        <v>1615.2384303255506</v>
      </c>
      <c r="Q947" s="530">
        <f>SUM(SUMIFS(Q:Q,$D:$D,$D947,$E:$E,$E947,$F:$F,{"Serviced Accommodation","Non-Serviced Accommodation","SFR"}))</f>
        <v>1417.8539523283182</v>
      </c>
      <c r="R947" s="530">
        <f>SUM(SUMIFS(R:R,$D:$D,$D947,$E:$E,$E947,$F:$F,{"Serviced Accommodation","Non-Serviced Accommodation","SFR"}))</f>
        <v>834.64608674178521</v>
      </c>
      <c r="S947" s="530">
        <f>SUM(SUMIFS(S:S,$D:$D,$D947,$E:$E,$E947,$F:$F,{"Serviced Accommodation","Non-Serviced Accommodation","SFR"}))</f>
        <v>628.40228255421641</v>
      </c>
      <c r="T947" s="530">
        <f>SUM(SUMIFS(T:T,$D:$D,$D947,$E:$E,$E947,$F:$F,{"Serviced Accommodation","Non-Serviced Accommodation","SFR"}))</f>
        <v>17617.363423093524</v>
      </c>
      <c r="U947" s="530" t="s">
        <v>61</v>
      </c>
    </row>
    <row r="948" spans="1:21" ht="12.75" customHeight="1" x14ac:dyDescent="0.3">
      <c r="A948" s="530" t="str">
        <f t="shared" si="34"/>
        <v>Gwynedd.2015.Visitor Numbers.Staying Visitor</v>
      </c>
      <c r="B948" s="530" t="s">
        <v>219</v>
      </c>
      <c r="C948" s="530" t="str">
        <f t="shared" si="35"/>
        <v>2015.Visitor Numbers.Staying Visitor</v>
      </c>
      <c r="D948" s="530" t="s">
        <v>234</v>
      </c>
      <c r="E948" s="530" t="s">
        <v>172</v>
      </c>
      <c r="F948" s="530" t="s">
        <v>140</v>
      </c>
      <c r="G948" s="530" t="s">
        <v>140</v>
      </c>
      <c r="H948" s="530">
        <f>SUM(SUMIFS(H:H,$D:$D,$D948,$E:$E,$E948,$F:$F,{"Serviced Accommodation","Non-Serviced Accommodation","SFR"}))</f>
        <v>145.62899413763998</v>
      </c>
      <c r="I948" s="530">
        <f>SUM(SUMIFS(I:I,$D:$D,$D948,$E:$E,$E948,$F:$F,{"Serviced Accommodation","Non-Serviced Accommodation","SFR"}))</f>
        <v>154.2148324477661</v>
      </c>
      <c r="J948" s="530">
        <f>SUM(SUMIFS(J:J,$D:$D,$D948,$E:$E,$E948,$F:$F,{"Serviced Accommodation","Non-Serviced Accommodation","SFR"}))</f>
        <v>334.21868294544396</v>
      </c>
      <c r="K948" s="530">
        <f>SUM(SUMIFS(K:K,$D:$D,$D948,$E:$E,$E948,$F:$F,{"Serviced Accommodation","Non-Serviced Accommodation","SFR"}))</f>
        <v>268.14275445257704</v>
      </c>
      <c r="L948" s="530">
        <f>SUM(SUMIFS(L:L,$D:$D,$D948,$E:$E,$E948,$F:$F,{"Serviced Accommodation","Non-Serviced Accommodation","SFR"}))</f>
        <v>306.72111616885326</v>
      </c>
      <c r="M948" s="530">
        <f>SUM(SUMIFS(M:M,$D:$D,$D948,$E:$E,$E948,$F:$F,{"Serviced Accommodation","Non-Serviced Accommodation","SFR"}))</f>
        <v>317.52516145656665</v>
      </c>
      <c r="N948" s="530">
        <f>SUM(SUMIFS(N:N,$D:$D,$D948,$E:$E,$E948,$F:$F,{"Serviced Accommodation","Non-Serviced Accommodation","SFR"}))</f>
        <v>442.26888811433309</v>
      </c>
      <c r="O948" s="530">
        <f>SUM(SUMIFS(O:O,$D:$D,$D948,$E:$E,$E948,$F:$F,{"Serviced Accommodation","Non-Serviced Accommodation","SFR"}))</f>
        <v>458.32642172050078</v>
      </c>
      <c r="P948" s="530">
        <f>SUM(SUMIFS(P:P,$D:$D,$D948,$E:$E,$E948,$F:$F,{"Serviced Accommodation","Non-Serviced Accommodation","SFR"}))</f>
        <v>278.49560669542564</v>
      </c>
      <c r="Q948" s="530">
        <f>SUM(SUMIFS(Q:Q,$D:$D,$D948,$E:$E,$E948,$F:$F,{"Serviced Accommodation","Non-Serviced Accommodation","SFR"}))</f>
        <v>250.20284489499875</v>
      </c>
      <c r="R948" s="530">
        <f>SUM(SUMIFS(R:R,$D:$D,$D948,$E:$E,$E948,$F:$F,{"Serviced Accommodation","Non-Serviced Accommodation","SFR"}))</f>
        <v>209.51368217026464</v>
      </c>
      <c r="S948" s="530">
        <f>SUM(SUMIFS(S:S,$D:$D,$D948,$E:$E,$E948,$F:$F,{"Serviced Accommodation","Non-Serviced Accommodation","SFR"}))</f>
        <v>140.79673039731847</v>
      </c>
      <c r="T948" s="530">
        <f>SUM(SUMIFS(T:T,$D:$D,$D948,$E:$E,$E948,$F:$F,{"Serviced Accommodation","Non-Serviced Accommodation","SFR"}))</f>
        <v>3306.0557156016889</v>
      </c>
      <c r="U948" s="530" t="s">
        <v>61</v>
      </c>
    </row>
    <row r="949" spans="1:21" ht="12.75" customHeight="1" x14ac:dyDescent="0.3">
      <c r="A949" s="530" t="str">
        <f t="shared" si="34"/>
        <v>Gwynedd.2015.Vehicle Days.Staying Visitor</v>
      </c>
      <c r="B949" s="530" t="s">
        <v>219</v>
      </c>
      <c r="C949" s="530" t="str">
        <f t="shared" si="35"/>
        <v>2015.Vehicle Days.Staying Visitor</v>
      </c>
      <c r="D949" s="530" t="s">
        <v>234</v>
      </c>
      <c r="E949" s="530" t="s">
        <v>21</v>
      </c>
      <c r="F949" s="530" t="s">
        <v>140</v>
      </c>
      <c r="G949" s="530" t="s">
        <v>140</v>
      </c>
      <c r="H949" s="530">
        <f>SUM(SUMIFS(H:H,$D:$D,$D949,$E:$E,$E949,$F:$F,{"Serviced Accommodation","Non-Serviced Accommodation","SFR"}))</f>
        <v>112.46033154957684</v>
      </c>
      <c r="I949" s="530">
        <f>SUM(SUMIFS(I:I,$D:$D,$D949,$E:$E,$E949,$F:$F,{"Serviced Accommodation","Non-Serviced Accommodation","SFR"}))</f>
        <v>151.17715469293645</v>
      </c>
      <c r="J949" s="530">
        <f>SUM(SUMIFS(J:J,$D:$D,$D949,$E:$E,$E949,$F:$F,{"Serviced Accommodation","Non-Serviced Accommodation","SFR"}))</f>
        <v>416.09395448152065</v>
      </c>
      <c r="K949" s="530">
        <f>SUM(SUMIFS(K:K,$D:$D,$D949,$E:$E,$E949,$F:$F,{"Serviced Accommodation","Non-Serviced Accommodation","SFR"}))</f>
        <v>370.02308943248119</v>
      </c>
      <c r="L949" s="530">
        <f>SUM(SUMIFS(L:L,$D:$D,$D949,$E:$E,$E949,$F:$F,{"Serviced Accommodation","Non-Serviced Accommodation","SFR"}))</f>
        <v>478.33341568714502</v>
      </c>
      <c r="M949" s="530">
        <f>SUM(SUMIFS(M:M,$D:$D,$D949,$E:$E,$E949,$F:$F,{"Serviced Accommodation","Non-Serviced Accommodation","SFR"}))</f>
        <v>496.88843946684699</v>
      </c>
      <c r="N949" s="530">
        <f>SUM(SUMIFS(N:N,$D:$D,$D949,$E:$E,$E949,$F:$F,{"Serviced Accommodation","Non-Serviced Accommodation","SFR"}))</f>
        <v>703.25988693939382</v>
      </c>
      <c r="O949" s="530">
        <f>SUM(SUMIFS(O:O,$D:$D,$D949,$E:$E,$E949,$F:$F,{"Serviced Accommodation","Non-Serviced Accommodation","SFR"}))</f>
        <v>768.19659591712832</v>
      </c>
      <c r="P949" s="530">
        <f>SUM(SUMIFS(P:P,$D:$D,$D949,$E:$E,$E949,$F:$F,{"Serviced Accommodation","Non-Serviced Accommodation","SFR"}))</f>
        <v>425.20375390670586</v>
      </c>
      <c r="Q949" s="530">
        <f>SUM(SUMIFS(Q:Q,$D:$D,$D949,$E:$E,$E949,$F:$F,{"Serviced Accommodation","Non-Serviced Accommodation","SFR"}))</f>
        <v>370.92349975437276</v>
      </c>
      <c r="R949" s="530">
        <f>SUM(SUMIFS(R:R,$D:$D,$D949,$E:$E,$E949,$F:$F,{"Serviced Accommodation","Non-Serviced Accommodation","SFR"}))</f>
        <v>225.28076470165362</v>
      </c>
      <c r="S949" s="530">
        <f>SUM(SUMIFS(S:S,$D:$D,$D949,$E:$E,$E949,$F:$F,{"Serviced Accommodation","Non-Serviced Accommodation","SFR"}))</f>
        <v>162.63311549497899</v>
      </c>
      <c r="T949" s="530">
        <f>SUM(SUMIFS(T:T,$D:$D,$D949,$E:$E,$E949,$F:$F,{"Serviced Accommodation","Non-Serviced Accommodation","SFR"}))</f>
        <v>4680.47400202474</v>
      </c>
      <c r="U949" s="530" t="s">
        <v>61</v>
      </c>
    </row>
    <row r="950" spans="1:21" ht="12.75" customHeight="1" x14ac:dyDescent="0.3">
      <c r="A950" s="530" t="str">
        <f t="shared" si="34"/>
        <v>Gwynedd.2015.Vehicle Numbers.Staying Visitor</v>
      </c>
      <c r="B950" s="530" t="s">
        <v>219</v>
      </c>
      <c r="C950" s="530" t="str">
        <f t="shared" si="35"/>
        <v>2015.Vehicle Numbers.Staying Visitor</v>
      </c>
      <c r="D950" s="530" t="s">
        <v>234</v>
      </c>
      <c r="E950" s="530" t="s">
        <v>22</v>
      </c>
      <c r="F950" s="530" t="s">
        <v>140</v>
      </c>
      <c r="G950" s="530" t="s">
        <v>140</v>
      </c>
      <c r="H950" s="530">
        <f>SUM(SUMIFS(H:H,$D:$D,$D950,$E:$E,$E950,$F:$F,{"Serviced Accommodation","Non-Serviced Accommodation","SFR"}))</f>
        <v>38.033304152687592</v>
      </c>
      <c r="I950" s="530">
        <f>SUM(SUMIFS(I:I,$D:$D,$D950,$E:$E,$E950,$F:$F,{"Serviced Accommodation","Non-Serviced Accommodation","SFR"}))</f>
        <v>45.220525267806295</v>
      </c>
      <c r="J950" s="530">
        <f>SUM(SUMIFS(J:J,$D:$D,$D950,$E:$E,$E950,$F:$F,{"Serviced Accommodation","Non-Serviced Accommodation","SFR"}))</f>
        <v>94.640930892476504</v>
      </c>
      <c r="K950" s="530">
        <f>SUM(SUMIFS(K:K,$D:$D,$D950,$E:$E,$E950,$F:$F,{"Serviced Accommodation","Non-Serviced Accommodation","SFR"}))</f>
        <v>70.108578827686102</v>
      </c>
      <c r="L950" s="530">
        <f>SUM(SUMIFS(L:L,$D:$D,$D950,$E:$E,$E950,$F:$F,{"Serviced Accommodation","Non-Serviced Accommodation","SFR"}))</f>
        <v>83.175862700447993</v>
      </c>
      <c r="M950" s="530">
        <f>SUM(SUMIFS(M:M,$D:$D,$D950,$E:$E,$E950,$F:$F,{"Serviced Accommodation","Non-Serviced Accommodation","SFR"}))</f>
        <v>85.745736304163202</v>
      </c>
      <c r="N950" s="530">
        <f>SUM(SUMIFS(N:N,$D:$D,$D950,$E:$E,$E950,$F:$F,{"Serviced Accommodation","Non-Serviced Accommodation","SFR"}))</f>
        <v>116.92643064374691</v>
      </c>
      <c r="O950" s="530">
        <f>SUM(SUMIFS(O:O,$D:$D,$D950,$E:$E,$E950,$F:$F,{"Serviced Accommodation","Non-Serviced Accommodation","SFR"}))</f>
        <v>120.58371453914137</v>
      </c>
      <c r="P950" s="530">
        <f>SUM(SUMIFS(P:P,$D:$D,$D950,$E:$E,$E950,$F:$F,{"Serviced Accommodation","Non-Serviced Accommodation","SFR"}))</f>
        <v>73.553964724273058</v>
      </c>
      <c r="Q950" s="530">
        <f>SUM(SUMIFS(Q:Q,$D:$D,$D950,$E:$E,$E950,$F:$F,{"Serviced Accommodation","Non-Serviced Accommodation","SFR"}))</f>
        <v>66.791615633663454</v>
      </c>
      <c r="R950" s="530">
        <f>SUM(SUMIFS(R:R,$D:$D,$D950,$E:$E,$E950,$F:$F,{"Serviced Accommodation","Non-Serviced Accommodation","SFR"}))</f>
        <v>56.987723207734504</v>
      </c>
      <c r="S950" s="530">
        <f>SUM(SUMIFS(S:S,$D:$D,$D950,$E:$E,$E950,$F:$F,{"Serviced Accommodation","Non-Serviced Accommodation","SFR"}))</f>
        <v>37.083121387983788</v>
      </c>
      <c r="T950" s="530">
        <f>SUM(SUMIFS(T:T,$D:$D,$D950,$E:$E,$E950,$F:$F,{"Serviced Accommodation","Non-Serviced Accommodation","SFR"}))</f>
        <v>888.85150828181088</v>
      </c>
      <c r="U950" s="530" t="s">
        <v>61</v>
      </c>
    </row>
    <row r="951" spans="1:21" ht="12.75" customHeight="1" x14ac:dyDescent="0.3">
      <c r="A951" s="530" t="str">
        <f t="shared" si="34"/>
        <v>Gwynedd.2016.Economic Impact.Staying Visitor</v>
      </c>
      <c r="B951" s="530" t="s">
        <v>219</v>
      </c>
      <c r="C951" s="530" t="str">
        <f t="shared" si="35"/>
        <v>2016.Economic Impact.Staying Visitor</v>
      </c>
      <c r="D951" s="530" t="s">
        <v>235</v>
      </c>
      <c r="E951" s="530" t="s">
        <v>17</v>
      </c>
      <c r="F951" s="530" t="s">
        <v>140</v>
      </c>
      <c r="G951" s="530" t="s">
        <v>140</v>
      </c>
      <c r="H951" s="530">
        <f>SUM(SUMIFS(H:H,$D:$D,$D951,$E:$E,$E951,$F:$F,{"Serviced Accommodation","Non-Serviced Accommodation","SFR"}))</f>
        <v>18555.242937019091</v>
      </c>
      <c r="I951" s="530">
        <f>SUM(SUMIFS(I:I,$D:$D,$D951,$E:$E,$E951,$F:$F,{"Serviced Accommodation","Non-Serviced Accommodation","SFR"}))</f>
        <v>27105.733175747653</v>
      </c>
      <c r="J951" s="530">
        <f>SUM(SUMIFS(J:J,$D:$D,$D951,$E:$E,$E951,$F:$F,{"Serviced Accommodation","Non-Serviced Accommodation","SFR"}))</f>
        <v>85681.761589309346</v>
      </c>
      <c r="K951" s="530">
        <f>SUM(SUMIFS(K:K,$D:$D,$D951,$E:$E,$E951,$F:$F,{"Serviced Accommodation","Non-Serviced Accommodation","SFR"}))</f>
        <v>60260.660825368213</v>
      </c>
      <c r="L951" s="530">
        <f>SUM(SUMIFS(L:L,$D:$D,$D951,$E:$E,$E951,$F:$F,{"Serviced Accommodation","Non-Serviced Accommodation","SFR"}))</f>
        <v>72285.181820308935</v>
      </c>
      <c r="M951" s="530">
        <f>SUM(SUMIFS(M:M,$D:$D,$D951,$E:$E,$E951,$F:$F,{"Serviced Accommodation","Non-Serviced Accommodation","SFR"}))</f>
        <v>81931.233964127678</v>
      </c>
      <c r="N951" s="530">
        <f>SUM(SUMIFS(N:N,$D:$D,$D951,$E:$E,$E951,$F:$F,{"Serviced Accommodation","Non-Serviced Accommodation","SFR"}))</f>
        <v>119986.95754357699</v>
      </c>
      <c r="O951" s="530">
        <f>SUM(SUMIFS(O:O,$D:$D,$D951,$E:$E,$E951,$F:$F,{"Serviced Accommodation","Non-Serviced Accommodation","SFR"}))</f>
        <v>138267.10702944663</v>
      </c>
      <c r="P951" s="530">
        <f>SUM(SUMIFS(P:P,$D:$D,$D951,$E:$E,$E951,$F:$F,{"Serviced Accommodation","Non-Serviced Accommodation","SFR"}))</f>
        <v>92251.564924724982</v>
      </c>
      <c r="Q951" s="530">
        <f>SUM(SUMIFS(Q:Q,$D:$D,$D951,$E:$E,$E951,$F:$F,{"Serviced Accommodation","Non-Serviced Accommodation","SFR"}))</f>
        <v>67240.316985437734</v>
      </c>
      <c r="R951" s="530">
        <f>SUM(SUMIFS(R:R,$D:$D,$D951,$E:$E,$E951,$F:$F,{"Serviced Accommodation","Non-Serviced Accommodation","SFR"}))</f>
        <v>45989.962021116931</v>
      </c>
      <c r="S951" s="530">
        <f>SUM(SUMIFS(S:S,$D:$D,$D951,$E:$E,$E951,$F:$F,{"Serviced Accommodation","Non-Serviced Accommodation","SFR"}))</f>
        <v>36986.803037309255</v>
      </c>
      <c r="T951" s="530">
        <f>SUM(SUMIFS(T:T,$D:$D,$D951,$E:$E,$E951,$F:$F,{"Serviced Accommodation","Non-Serviced Accommodation","SFR"}))</f>
        <v>846542.52585349337</v>
      </c>
      <c r="U951" s="530" t="s">
        <v>57</v>
      </c>
    </row>
    <row r="952" spans="1:21" ht="12.75" customHeight="1" x14ac:dyDescent="0.3">
      <c r="A952" s="530" t="str">
        <f t="shared" si="34"/>
        <v>Gwynedd.2016.Employment.Staying Visitor</v>
      </c>
      <c r="B952" s="530" t="s">
        <v>219</v>
      </c>
      <c r="C952" s="530" t="str">
        <f t="shared" si="35"/>
        <v>2016.Employment.Staying Visitor</v>
      </c>
      <c r="D952" s="530" t="s">
        <v>235</v>
      </c>
      <c r="E952" s="530" t="s">
        <v>20</v>
      </c>
      <c r="F952" s="530" t="s">
        <v>140</v>
      </c>
      <c r="G952" s="530" t="s">
        <v>140</v>
      </c>
      <c r="H952" s="530">
        <f>SUM(SUMIFS(H:H,$D:$D,$D952,$E:$E,$E952,$F:$F,{"Serviced Accommodation","Non-Serviced Accommodation","SFR"}))</f>
        <v>5756.7873976760329</v>
      </c>
      <c r="I952" s="530">
        <f>SUM(SUMIFS(I:I,$D:$D,$D952,$E:$E,$E952,$F:$F,{"Serviced Accommodation","Non-Serviced Accommodation","SFR"}))</f>
        <v>6503.5886551970343</v>
      </c>
      <c r="J952" s="530">
        <f>SUM(SUMIFS(J:J,$D:$D,$D952,$E:$E,$E952,$F:$F,{"Serviced Accommodation","Non-Serviced Accommodation","SFR"}))</f>
        <v>13237.554105093048</v>
      </c>
      <c r="K952" s="530">
        <f>SUM(SUMIFS(K:K,$D:$D,$D952,$E:$E,$E952,$F:$F,{"Serviced Accommodation","Non-Serviced Accommodation","SFR"}))</f>
        <v>10571.344750127448</v>
      </c>
      <c r="L952" s="530">
        <f>SUM(SUMIFS(L:L,$D:$D,$D952,$E:$E,$E952,$F:$F,{"Serviced Accommodation","Non-Serviced Accommodation","SFR"}))</f>
        <v>11851.745674851503</v>
      </c>
      <c r="M952" s="530">
        <f>SUM(SUMIFS(M:M,$D:$D,$D952,$E:$E,$E952,$F:$F,{"Serviced Accommodation","Non-Serviced Accommodation","SFR"}))</f>
        <v>12681.134569784293</v>
      </c>
      <c r="N952" s="530">
        <f>SUM(SUMIFS(N:N,$D:$D,$D952,$E:$E,$E952,$F:$F,{"Serviced Accommodation","Non-Serviced Accommodation","SFR"}))</f>
        <v>15400.328330903783</v>
      </c>
      <c r="O952" s="530">
        <f>SUM(SUMIFS(O:O,$D:$D,$D952,$E:$E,$E952,$F:$F,{"Serviced Accommodation","Non-Serviced Accommodation","SFR"}))</f>
        <v>18058.185112940017</v>
      </c>
      <c r="P952" s="530">
        <f>SUM(SUMIFS(P:P,$D:$D,$D952,$E:$E,$E952,$F:$F,{"Serviced Accommodation","Non-Serviced Accommodation","SFR"}))</f>
        <v>12434.192626997396</v>
      </c>
      <c r="Q952" s="530">
        <f>SUM(SUMIFS(Q:Q,$D:$D,$D952,$E:$E,$E952,$F:$F,{"Serviced Accommodation","Non-Serviced Accommodation","SFR"}))</f>
        <v>11157.378151198278</v>
      </c>
      <c r="R952" s="530">
        <f>SUM(SUMIFS(R:R,$D:$D,$D952,$E:$E,$E952,$F:$F,{"Serviced Accommodation","Non-Serviced Accommodation","SFR"}))</f>
        <v>8619.0138826834627</v>
      </c>
      <c r="S952" s="530">
        <f>SUM(SUMIFS(S:S,$D:$D,$D952,$E:$E,$E952,$F:$F,{"Serviced Accommodation","Non-Serviced Accommodation","SFR"}))</f>
        <v>7613.4917983070036</v>
      </c>
      <c r="T952" s="530">
        <f>SUM(SUMIFS(T:T,$D:$D,$D952,$E:$E,$E952,$F:$F,{"Serviced Accommodation","Non-Serviced Accommodation","SFR"}))</f>
        <v>11157.062087979943</v>
      </c>
      <c r="U952" s="530" t="s">
        <v>59</v>
      </c>
    </row>
    <row r="953" spans="1:21" ht="12.75" customHeight="1" x14ac:dyDescent="0.3">
      <c r="A953" s="530" t="str">
        <f t="shared" si="34"/>
        <v>Gwynedd.2016.Visitor Days.Staying Visitor</v>
      </c>
      <c r="B953" s="530" t="s">
        <v>219</v>
      </c>
      <c r="C953" s="530" t="str">
        <f t="shared" si="35"/>
        <v>2016.Visitor Days.Staying Visitor</v>
      </c>
      <c r="D953" s="530" t="s">
        <v>235</v>
      </c>
      <c r="E953" s="530" t="s">
        <v>171</v>
      </c>
      <c r="F953" s="530" t="s">
        <v>140</v>
      </c>
      <c r="G953" s="530" t="s">
        <v>140</v>
      </c>
      <c r="H953" s="530">
        <f>SUM(SUMIFS(H:H,$D:$D,$D953,$E:$E,$E953,$F:$F,{"Serviced Accommodation","Non-Serviced Accommodation","SFR"}))</f>
        <v>448.3268993896217</v>
      </c>
      <c r="I953" s="530">
        <f>SUM(SUMIFS(I:I,$D:$D,$D953,$E:$E,$E953,$F:$F,{"Serviced Accommodation","Non-Serviced Accommodation","SFR"}))</f>
        <v>572.11220213413162</v>
      </c>
      <c r="J953" s="530">
        <f>SUM(SUMIFS(J:J,$D:$D,$D953,$E:$E,$E953,$F:$F,{"Serviced Accommodation","Non-Serviced Accommodation","SFR"}))</f>
        <v>1845.2270388768391</v>
      </c>
      <c r="K953" s="530">
        <f>SUM(SUMIFS(K:K,$D:$D,$D953,$E:$E,$E953,$F:$F,{"Serviced Accommodation","Non-Serviced Accommodation","SFR"}))</f>
        <v>1391.8492277595819</v>
      </c>
      <c r="L953" s="530">
        <f>SUM(SUMIFS(L:L,$D:$D,$D953,$E:$E,$E953,$F:$F,{"Serviced Accommodation","Non-Serviced Accommodation","SFR"}))</f>
        <v>1675.1270149780405</v>
      </c>
      <c r="M953" s="530">
        <f>SUM(SUMIFS(M:M,$D:$D,$D953,$E:$E,$E953,$F:$F,{"Serviced Accommodation","Non-Serviced Accommodation","SFR"}))</f>
        <v>1852.9318458013015</v>
      </c>
      <c r="N953" s="530">
        <f>SUM(SUMIFS(N:N,$D:$D,$D953,$E:$E,$E953,$F:$F,{"Serviced Accommodation","Non-Serviced Accommodation","SFR"}))</f>
        <v>2457.7949751277447</v>
      </c>
      <c r="O953" s="530">
        <f>SUM(SUMIFS(O:O,$D:$D,$D953,$E:$E,$E953,$F:$F,{"Serviced Accommodation","Non-Serviced Accommodation","SFR"}))</f>
        <v>2774.9938699792492</v>
      </c>
      <c r="P953" s="530">
        <f>SUM(SUMIFS(P:P,$D:$D,$D953,$E:$E,$E953,$F:$F,{"Serviced Accommodation","Non-Serviced Accommodation","SFR"}))</f>
        <v>1798.6560839275244</v>
      </c>
      <c r="Q953" s="530">
        <f>SUM(SUMIFS(Q:Q,$D:$D,$D953,$E:$E,$E953,$F:$F,{"Serviced Accommodation","Non-Serviced Accommodation","SFR"}))</f>
        <v>1508.2861723435665</v>
      </c>
      <c r="R953" s="530">
        <f>SUM(SUMIFS(R:R,$D:$D,$D953,$E:$E,$E953,$F:$F,{"Serviced Accommodation","Non-Serviced Accommodation","SFR"}))</f>
        <v>1005.3268279115051</v>
      </c>
      <c r="S953" s="530">
        <f>SUM(SUMIFS(S:S,$D:$D,$D953,$E:$E,$E953,$F:$F,{"Serviced Accommodation","Non-Serviced Accommodation","SFR"}))</f>
        <v>803.32859858313986</v>
      </c>
      <c r="T953" s="530">
        <f>SUM(SUMIFS(T:T,$D:$D,$D953,$E:$E,$E953,$F:$F,{"Serviced Accommodation","Non-Serviced Accommodation","SFR"}))</f>
        <v>18133.960756812245</v>
      </c>
      <c r="U953" s="530" t="s">
        <v>61</v>
      </c>
    </row>
    <row r="954" spans="1:21" ht="12.75" customHeight="1" x14ac:dyDescent="0.3">
      <c r="A954" s="530" t="str">
        <f t="shared" si="34"/>
        <v>Gwynedd.2016.Visitor Numbers.Staying Visitor</v>
      </c>
      <c r="B954" s="530" t="s">
        <v>219</v>
      </c>
      <c r="C954" s="530" t="str">
        <f t="shared" si="35"/>
        <v>2016.Visitor Numbers.Staying Visitor</v>
      </c>
      <c r="D954" s="530" t="s">
        <v>235</v>
      </c>
      <c r="E954" s="530" t="s">
        <v>172</v>
      </c>
      <c r="F954" s="530" t="s">
        <v>140</v>
      </c>
      <c r="G954" s="530" t="s">
        <v>140</v>
      </c>
      <c r="H954" s="530">
        <f>SUM(SUMIFS(H:H,$D:$D,$D954,$E:$E,$E954,$F:$F,{"Serviced Accommodation","Non-Serviced Accommodation","SFR"}))</f>
        <v>147.71943361199433</v>
      </c>
      <c r="I954" s="530">
        <f>SUM(SUMIFS(I:I,$D:$D,$D954,$E:$E,$E954,$F:$F,{"Serviced Accommodation","Non-Serviced Accommodation","SFR"}))</f>
        <v>168.52930454231796</v>
      </c>
      <c r="J954" s="530">
        <f>SUM(SUMIFS(J:J,$D:$D,$D954,$E:$E,$E954,$F:$F,{"Serviced Accommodation","Non-Serviced Accommodation","SFR"}))</f>
        <v>410.78439632153516</v>
      </c>
      <c r="K954" s="530">
        <f>SUM(SUMIFS(K:K,$D:$D,$D954,$E:$E,$E954,$F:$F,{"Serviced Accommodation","Non-Serviced Accommodation","SFR"}))</f>
        <v>266.14478610583069</v>
      </c>
      <c r="L954" s="530">
        <f>SUM(SUMIFS(L:L,$D:$D,$D954,$E:$E,$E954,$F:$F,{"Serviced Accommodation","Non-Serviced Accommodation","SFR"}))</f>
        <v>297.23557178458651</v>
      </c>
      <c r="M954" s="530">
        <f>SUM(SUMIFS(M:M,$D:$D,$D954,$E:$E,$E954,$F:$F,{"Serviced Accommodation","Non-Serviced Accommodation","SFR"}))</f>
        <v>324.67381993953171</v>
      </c>
      <c r="N954" s="530">
        <f>SUM(SUMIFS(N:N,$D:$D,$D954,$E:$E,$E954,$F:$F,{"Serviced Accommodation","Non-Serviced Accommodation","SFR"}))</f>
        <v>422.35296042149417</v>
      </c>
      <c r="O954" s="530">
        <f>SUM(SUMIFS(O:O,$D:$D,$D954,$E:$E,$E954,$F:$F,{"Serviced Accommodation","Non-Serviced Accommodation","SFR"}))</f>
        <v>446.61319591418425</v>
      </c>
      <c r="P954" s="530">
        <f>SUM(SUMIFS(P:P,$D:$D,$D954,$E:$E,$E954,$F:$F,{"Serviced Accommodation","Non-Serviced Accommodation","SFR"}))</f>
        <v>313.59053376697284</v>
      </c>
      <c r="Q954" s="530">
        <f>SUM(SUMIFS(Q:Q,$D:$D,$D954,$E:$E,$E954,$F:$F,{"Serviced Accommodation","Non-Serviced Accommodation","SFR"}))</f>
        <v>264.48002684981691</v>
      </c>
      <c r="R954" s="530">
        <f>SUM(SUMIFS(R:R,$D:$D,$D954,$E:$E,$E954,$F:$F,{"Serviced Accommodation","Non-Serviced Accommodation","SFR"}))</f>
        <v>249.33645196706283</v>
      </c>
      <c r="S954" s="530">
        <f>SUM(SUMIFS(S:S,$D:$D,$D954,$E:$E,$E954,$F:$F,{"Serviced Accommodation","Non-Serviced Accommodation","SFR"}))</f>
        <v>175.23559385088305</v>
      </c>
      <c r="T954" s="530">
        <f>SUM(SUMIFS(T:T,$D:$D,$D954,$E:$E,$E954,$F:$F,{"Serviced Accommodation","Non-Serviced Accommodation","SFR"}))</f>
        <v>3486.69607507621</v>
      </c>
      <c r="U954" s="530" t="s">
        <v>61</v>
      </c>
    </row>
    <row r="955" spans="1:21" ht="12.75" customHeight="1" x14ac:dyDescent="0.3">
      <c r="A955" s="530" t="str">
        <f t="shared" si="34"/>
        <v>Gwynedd.2016.Vehicle Days.Staying Visitor</v>
      </c>
      <c r="B955" s="530" t="s">
        <v>219</v>
      </c>
      <c r="C955" s="530" t="str">
        <f t="shared" si="35"/>
        <v>2016.Vehicle Days.Staying Visitor</v>
      </c>
      <c r="D955" s="530" t="s">
        <v>235</v>
      </c>
      <c r="E955" s="530" t="s">
        <v>21</v>
      </c>
      <c r="F955" s="530" t="s">
        <v>140</v>
      </c>
      <c r="G955" s="530" t="s">
        <v>140</v>
      </c>
      <c r="H955" s="530">
        <f>SUM(SUMIFS(H:H,$D:$D,$D955,$E:$E,$E955,$F:$F,{"Serviced Accommodation","Non-Serviced Accommodation","SFR"}))</f>
        <v>116.80094900901514</v>
      </c>
      <c r="I955" s="530">
        <f>SUM(SUMIFS(I:I,$D:$D,$D955,$E:$E,$E955,$F:$F,{"Serviced Accommodation","Non-Serviced Accommodation","SFR"}))</f>
        <v>165.50072200114971</v>
      </c>
      <c r="J955" s="530">
        <f>SUM(SUMIFS(J:J,$D:$D,$D955,$E:$E,$E955,$F:$F,{"Serviced Accommodation","Non-Serviced Accommodation","SFR"}))</f>
        <v>524.69133005161007</v>
      </c>
      <c r="K955" s="530">
        <f>SUM(SUMIFS(K:K,$D:$D,$D955,$E:$E,$E955,$F:$F,{"Serviced Accommodation","Non-Serviced Accommodation","SFR"}))</f>
        <v>359.63794138944962</v>
      </c>
      <c r="L955" s="530">
        <f>SUM(SUMIFS(L:L,$D:$D,$D955,$E:$E,$E955,$F:$F,{"Serviced Accommodation","Non-Serviced Accommodation","SFR"}))</f>
        <v>446.38376452831773</v>
      </c>
      <c r="M955" s="530">
        <f>SUM(SUMIFS(M:M,$D:$D,$D955,$E:$E,$E955,$F:$F,{"Serviced Accommodation","Non-Serviced Accommodation","SFR"}))</f>
        <v>495.33826681850184</v>
      </c>
      <c r="N955" s="530">
        <f>SUM(SUMIFS(N:N,$D:$D,$D955,$E:$E,$E955,$F:$F,{"Serviced Accommodation","Non-Serviced Accommodation","SFR"}))</f>
        <v>641.63983440517848</v>
      </c>
      <c r="O955" s="530">
        <f>SUM(SUMIFS(O:O,$D:$D,$D955,$E:$E,$E955,$F:$F,{"Serviced Accommodation","Non-Serviced Accommodation","SFR"}))</f>
        <v>721.69070983004656</v>
      </c>
      <c r="P955" s="530">
        <f>SUM(SUMIFS(P:P,$D:$D,$D955,$E:$E,$E955,$F:$F,{"Serviced Accommodation","Non-Serviced Accommodation","SFR"}))</f>
        <v>478.36060615596489</v>
      </c>
      <c r="Q955" s="530">
        <f>SUM(SUMIFS(Q:Q,$D:$D,$D955,$E:$E,$E955,$F:$F,{"Serviced Accommodation","Non-Serviced Accommodation","SFR"}))</f>
        <v>397.78281655699993</v>
      </c>
      <c r="R955" s="530">
        <f>SUM(SUMIFS(R:R,$D:$D,$D955,$E:$E,$E955,$F:$F,{"Serviced Accommodation","Non-Serviced Accommodation","SFR"}))</f>
        <v>274.64156875017716</v>
      </c>
      <c r="S955" s="530">
        <f>SUM(SUMIFS(S:S,$D:$D,$D955,$E:$E,$E955,$F:$F,{"Serviced Accommodation","Non-Serviced Accommodation","SFR"}))</f>
        <v>211.99659971663212</v>
      </c>
      <c r="T955" s="530">
        <f>SUM(SUMIFS(T:T,$D:$D,$D955,$E:$E,$E955,$F:$F,{"Serviced Accommodation","Non-Serviced Accommodation","SFR"}))</f>
        <v>4834.4651092130443</v>
      </c>
      <c r="U955" s="530" t="s">
        <v>61</v>
      </c>
    </row>
    <row r="956" spans="1:21" ht="12.75" customHeight="1" x14ac:dyDescent="0.3">
      <c r="A956" s="530" t="str">
        <f t="shared" si="34"/>
        <v>Gwynedd.2016.Vehicle Numbers.Staying Visitor</v>
      </c>
      <c r="B956" s="530" t="s">
        <v>219</v>
      </c>
      <c r="C956" s="530" t="str">
        <f t="shared" si="35"/>
        <v>2016.Vehicle Numbers.Staying Visitor</v>
      </c>
      <c r="D956" s="530" t="s">
        <v>235</v>
      </c>
      <c r="E956" s="530" t="s">
        <v>22</v>
      </c>
      <c r="F956" s="530" t="s">
        <v>140</v>
      </c>
      <c r="G956" s="530" t="s">
        <v>140</v>
      </c>
      <c r="H956" s="530">
        <f>SUM(SUMIFS(H:H,$D:$D,$D956,$E:$E,$E956,$F:$F,{"Serviced Accommodation","Non-Serviced Accommodation","SFR"}))</f>
        <v>38.769457968312608</v>
      </c>
      <c r="I956" s="530">
        <f>SUM(SUMIFS(I:I,$D:$D,$D956,$E:$E,$E956,$F:$F,{"Serviced Accommodation","Non-Serviced Accommodation","SFR"}))</f>
        <v>49.944603476547364</v>
      </c>
      <c r="J956" s="530">
        <f>SUM(SUMIFS(J:J,$D:$D,$D956,$E:$E,$E956,$F:$F,{"Serviced Accommodation","Non-Serviced Accommodation","SFR"}))</f>
        <v>118.45530546258888</v>
      </c>
      <c r="K956" s="530">
        <f>SUM(SUMIFS(K:K,$D:$D,$D956,$E:$E,$E956,$F:$F,{"Serviced Accommodation","Non-Serviced Accommodation","SFR"}))</f>
        <v>69.448505411811112</v>
      </c>
      <c r="L956" s="530">
        <f>SUM(SUMIFS(L:L,$D:$D,$D956,$E:$E,$E956,$F:$F,{"Serviced Accommodation","Non-Serviced Accommodation","SFR"}))</f>
        <v>80.351717724707655</v>
      </c>
      <c r="M956" s="530">
        <f>SUM(SUMIFS(M:M,$D:$D,$D956,$E:$E,$E956,$F:$F,{"Serviced Accommodation","Non-Serviced Accommodation","SFR"}))</f>
        <v>87.65504228112367</v>
      </c>
      <c r="N956" s="530">
        <f>SUM(SUMIFS(N:N,$D:$D,$D956,$E:$E,$E956,$F:$F,{"Serviced Accommodation","Non-Serviced Accommodation","SFR"}))</f>
        <v>110.73671217269643</v>
      </c>
      <c r="O956" s="530">
        <f>SUM(SUMIFS(O:O,$D:$D,$D956,$E:$E,$E956,$F:$F,{"Serviced Accommodation","Non-Serviced Accommodation","SFR"}))</f>
        <v>116.72197636059718</v>
      </c>
      <c r="P956" s="530">
        <f>SUM(SUMIFS(P:P,$D:$D,$D956,$E:$E,$E956,$F:$F,{"Serviced Accommodation","Non-Serviced Accommodation","SFR"}))</f>
        <v>83.455673306186284</v>
      </c>
      <c r="Q956" s="530">
        <f>SUM(SUMIFS(Q:Q,$D:$D,$D956,$E:$E,$E956,$F:$F,{"Serviced Accommodation","Non-Serviced Accommodation","SFR"}))</f>
        <v>70.885814768635043</v>
      </c>
      <c r="R956" s="530">
        <f>SUM(SUMIFS(R:R,$D:$D,$D956,$E:$E,$E956,$F:$F,{"Serviced Accommodation","Non-Serviced Accommodation","SFR"}))</f>
        <v>68.405813660817387</v>
      </c>
      <c r="S956" s="530">
        <f>SUM(SUMIFS(S:S,$D:$D,$D956,$E:$E,$E956,$F:$F,{"Serviced Accommodation","Non-Serviced Accommodation","SFR"}))</f>
        <v>46.70951865029253</v>
      </c>
      <c r="T956" s="530">
        <f>SUM(SUMIFS(T:T,$D:$D,$D956,$E:$E,$E956,$F:$F,{"Serviced Accommodation","Non-Serviced Accommodation","SFR"}))</f>
        <v>941.54014124431626</v>
      </c>
      <c r="U956" s="530" t="s">
        <v>61</v>
      </c>
    </row>
    <row r="957" spans="1:21" ht="12.75" customHeight="1" x14ac:dyDescent="0.3">
      <c r="A957" s="530" t="str">
        <f t="shared" si="34"/>
        <v>Gwynedd.2017.Economic Impact.Staying Visitor</v>
      </c>
      <c r="B957" s="530" t="s">
        <v>219</v>
      </c>
      <c r="C957" s="530" t="str">
        <f t="shared" si="35"/>
        <v>2017.Economic Impact.Staying Visitor</v>
      </c>
      <c r="D957" s="530" t="s">
        <v>236</v>
      </c>
      <c r="E957" s="530" t="s">
        <v>17</v>
      </c>
      <c r="F957" s="530" t="s">
        <v>140</v>
      </c>
      <c r="G957" s="530" t="s">
        <v>140</v>
      </c>
      <c r="H957" s="530">
        <f>SUM(SUMIFS(H:H,$D:$D,$D957,$E:$E,$E957,$F:$F,{"Serviced Accommodation","Non-Serviced Accommodation","SFR"}))</f>
        <v>24648.656560789943</v>
      </c>
      <c r="I957" s="530">
        <f>SUM(SUMIFS(I:I,$D:$D,$D957,$E:$E,$E957,$F:$F,{"Serviced Accommodation","Non-Serviced Accommodation","SFR"}))</f>
        <v>33817.734110046142</v>
      </c>
      <c r="J957" s="530">
        <f>SUM(SUMIFS(J:J,$D:$D,$D957,$E:$E,$E957,$F:$F,{"Serviced Accommodation","Non-Serviced Accommodation","SFR"}))</f>
        <v>81289.0238135033</v>
      </c>
      <c r="K957" s="530">
        <f>SUM(SUMIFS(K:K,$D:$D,$D957,$E:$E,$E957,$F:$F,{"Serviced Accommodation","Non-Serviced Accommodation","SFR"}))</f>
        <v>71342.219209384653</v>
      </c>
      <c r="L957" s="530">
        <f>SUM(SUMIFS(L:L,$D:$D,$D957,$E:$E,$E957,$F:$F,{"Serviced Accommodation","Non-Serviced Accommodation","SFR"}))</f>
        <v>76021.372928357363</v>
      </c>
      <c r="M957" s="530">
        <f>SUM(SUMIFS(M:M,$D:$D,$D957,$E:$E,$E957,$F:$F,{"Serviced Accommodation","Non-Serviced Accommodation","SFR"}))</f>
        <v>95728.850062375655</v>
      </c>
      <c r="N957" s="530">
        <f>SUM(SUMIFS(N:N,$D:$D,$D957,$E:$E,$E957,$F:$F,{"Serviced Accommodation","Non-Serviced Accommodation","SFR"}))</f>
        <v>120853.43871367186</v>
      </c>
      <c r="O957" s="530">
        <f>SUM(SUMIFS(O:O,$D:$D,$D957,$E:$E,$E957,$F:$F,{"Serviced Accommodation","Non-Serviced Accommodation","SFR"}))</f>
        <v>141814.43979985971</v>
      </c>
      <c r="P957" s="530">
        <f>SUM(SUMIFS(P:P,$D:$D,$D957,$E:$E,$E957,$F:$F,{"Serviced Accommodation","Non-Serviced Accommodation","SFR"}))</f>
        <v>99963.069742107502</v>
      </c>
      <c r="Q957" s="530">
        <f>SUM(SUMIFS(Q:Q,$D:$D,$D957,$E:$E,$E957,$F:$F,{"Serviced Accommodation","Non-Serviced Accommodation","SFR"}))</f>
        <v>73667.977791454119</v>
      </c>
      <c r="R957" s="530">
        <f>SUM(SUMIFS(R:R,$D:$D,$D957,$E:$E,$E957,$F:$F,{"Serviced Accommodation","Non-Serviced Accommodation","SFR"}))</f>
        <v>48292.811704785228</v>
      </c>
      <c r="S957" s="530">
        <f>SUM(SUMIFS(S:S,$D:$D,$D957,$E:$E,$E957,$F:$F,{"Serviced Accommodation","Non-Serviced Accommodation","SFR"}))</f>
        <v>40553.276147188953</v>
      </c>
      <c r="T957" s="530">
        <f>SUM(SUMIFS(T:T,$D:$D,$D957,$E:$E,$E957,$F:$F,{"Serviced Accommodation","Non-Serviced Accommodation","SFR"}))</f>
        <v>907992.87058352446</v>
      </c>
      <c r="U957" s="530" t="s">
        <v>57</v>
      </c>
    </row>
    <row r="958" spans="1:21" ht="12.75" customHeight="1" x14ac:dyDescent="0.3">
      <c r="A958" s="530" t="str">
        <f t="shared" si="34"/>
        <v>Gwynedd.2017.Employment.Staying Visitor</v>
      </c>
      <c r="B958" s="530" t="s">
        <v>219</v>
      </c>
      <c r="C958" s="530" t="str">
        <f t="shared" si="35"/>
        <v>2017.Employment.Staying Visitor</v>
      </c>
      <c r="D958" s="530" t="s">
        <v>236</v>
      </c>
      <c r="E958" s="530" t="s">
        <v>20</v>
      </c>
      <c r="F958" s="530" t="s">
        <v>140</v>
      </c>
      <c r="G958" s="530" t="s">
        <v>140</v>
      </c>
      <c r="H958" s="530">
        <f>SUM(SUMIFS(H:H,$D:$D,$D958,$E:$E,$E958,$F:$F,{"Serviced Accommodation","Non-Serviced Accommodation","SFR"}))</f>
        <v>6123.2751138073027</v>
      </c>
      <c r="I958" s="530">
        <f>SUM(SUMIFS(I:I,$D:$D,$D958,$E:$E,$E958,$F:$F,{"Serviced Accommodation","Non-Serviced Accommodation","SFR"}))</f>
        <v>6888.6875168783336</v>
      </c>
      <c r="J958" s="530">
        <f>SUM(SUMIFS(J:J,$D:$D,$D958,$E:$E,$E958,$F:$F,{"Serviced Accommodation","Non-Serviced Accommodation","SFR"}))</f>
        <v>12133.536156999935</v>
      </c>
      <c r="K958" s="530">
        <f>SUM(SUMIFS(K:K,$D:$D,$D958,$E:$E,$E958,$F:$F,{"Serviced Accommodation","Non-Serviced Accommodation","SFR"}))</f>
        <v>11203.371887910238</v>
      </c>
      <c r="L958" s="530">
        <f>SUM(SUMIFS(L:L,$D:$D,$D958,$E:$E,$E958,$F:$F,{"Serviced Accommodation","Non-Serviced Accommodation","SFR"}))</f>
        <v>11864.737223040825</v>
      </c>
      <c r="M958" s="530">
        <f>SUM(SUMIFS(M:M,$D:$D,$D958,$E:$E,$E958,$F:$F,{"Serviced Accommodation","Non-Serviced Accommodation","SFR"}))</f>
        <v>13617.177828905231</v>
      </c>
      <c r="N958" s="530">
        <f>SUM(SUMIFS(N:N,$D:$D,$D958,$E:$E,$E958,$F:$F,{"Serviced Accommodation","Non-Serviced Accommodation","SFR"}))</f>
        <v>14835.597434484635</v>
      </c>
      <c r="O958" s="530">
        <f>SUM(SUMIFS(O:O,$D:$D,$D958,$E:$E,$E958,$F:$F,{"Serviced Accommodation","Non-Serviced Accommodation","SFR"}))</f>
        <v>17580.93577216702</v>
      </c>
      <c r="P958" s="530">
        <f>SUM(SUMIFS(P:P,$D:$D,$D958,$E:$E,$E958,$F:$F,{"Serviced Accommodation","Non-Serviced Accommodation","SFR"}))</f>
        <v>12503.3611955614</v>
      </c>
      <c r="Q958" s="530">
        <f>SUM(SUMIFS(Q:Q,$D:$D,$D958,$E:$E,$E958,$F:$F,{"Serviced Accommodation","Non-Serviced Accommodation","SFR"}))</f>
        <v>11331.064208966578</v>
      </c>
      <c r="R958" s="530">
        <f>SUM(SUMIFS(R:R,$D:$D,$D958,$E:$E,$E958,$F:$F,{"Serviced Accommodation","Non-Serviced Accommodation","SFR"}))</f>
        <v>8514.7794505251077</v>
      </c>
      <c r="S958" s="530">
        <f>SUM(SUMIFS(S:S,$D:$D,$D958,$E:$E,$E958,$F:$F,{"Serviced Accommodation","Non-Serviced Accommodation","SFR"}))</f>
        <v>7584.7679371495324</v>
      </c>
      <c r="T958" s="530">
        <f>SUM(SUMIFS(T:T,$D:$D,$D958,$E:$E,$E958,$F:$F,{"Serviced Accommodation","Non-Serviced Accommodation","SFR"}))</f>
        <v>11181.774310533012</v>
      </c>
      <c r="U958" s="530" t="s">
        <v>59</v>
      </c>
    </row>
    <row r="959" spans="1:21" ht="12.75" customHeight="1" x14ac:dyDescent="0.3">
      <c r="A959" s="530" t="str">
        <f t="shared" si="34"/>
        <v>Gwynedd.2017.Visitor Days.Staying Visitor</v>
      </c>
      <c r="B959" s="530" t="s">
        <v>219</v>
      </c>
      <c r="C959" s="530" t="str">
        <f t="shared" si="35"/>
        <v>2017.Visitor Days.Staying Visitor</v>
      </c>
      <c r="D959" s="530" t="s">
        <v>236</v>
      </c>
      <c r="E959" s="530" t="s">
        <v>171</v>
      </c>
      <c r="F959" s="530" t="s">
        <v>140</v>
      </c>
      <c r="G959" s="530" t="s">
        <v>140</v>
      </c>
      <c r="H959" s="530">
        <f>SUM(SUMIFS(H:H,$D:$D,$D959,$E:$E,$E959,$F:$F,{"Serviced Accommodation","Non-Serviced Accommodation","SFR"}))</f>
        <v>540.00569762125804</v>
      </c>
      <c r="I959" s="530">
        <f>SUM(SUMIFS(I:I,$D:$D,$D959,$E:$E,$E959,$F:$F,{"Serviced Accommodation","Non-Serviced Accommodation","SFR"}))</f>
        <v>671.2052224666561</v>
      </c>
      <c r="J959" s="530">
        <f>SUM(SUMIFS(J:J,$D:$D,$D959,$E:$E,$E959,$F:$F,{"Serviced Accommodation","Non-Serviced Accommodation","SFR"}))</f>
        <v>1713.2919124136251</v>
      </c>
      <c r="K959" s="530">
        <f>SUM(SUMIFS(K:K,$D:$D,$D959,$E:$E,$E959,$F:$F,{"Serviced Accommodation","Non-Serviced Accommodation","SFR"}))</f>
        <v>1556.0860253686553</v>
      </c>
      <c r="L959" s="530">
        <f>SUM(SUMIFS(L:L,$D:$D,$D959,$E:$E,$E959,$F:$F,{"Serviced Accommodation","Non-Serviced Accommodation","SFR"}))</f>
        <v>1712.8099670226775</v>
      </c>
      <c r="M959" s="530">
        <f>SUM(SUMIFS(M:M,$D:$D,$D959,$E:$E,$E959,$F:$F,{"Serviced Accommodation","Non-Serviced Accommodation","SFR"}))</f>
        <v>2057.1985959274775</v>
      </c>
      <c r="N959" s="530">
        <f>SUM(SUMIFS(N:N,$D:$D,$D959,$E:$E,$E959,$F:$F,{"Serviced Accommodation","Non-Serviced Accommodation","SFR"}))</f>
        <v>2410.2292652620499</v>
      </c>
      <c r="O959" s="530">
        <f>SUM(SUMIFS(O:O,$D:$D,$D959,$E:$E,$E959,$F:$F,{"Serviced Accommodation","Non-Serviced Accommodation","SFR"}))</f>
        <v>2765.4140810716608</v>
      </c>
      <c r="P959" s="530">
        <f>SUM(SUMIFS(P:P,$D:$D,$D959,$E:$E,$E959,$F:$F,{"Serviced Accommodation","Non-Serviced Accommodation","SFR"}))</f>
        <v>1856.1905582851682</v>
      </c>
      <c r="Q959" s="530">
        <f>SUM(SUMIFS(Q:Q,$D:$D,$D959,$E:$E,$E959,$F:$F,{"Serviced Accommodation","Non-Serviced Accommodation","SFR"}))</f>
        <v>1593.0390901121248</v>
      </c>
      <c r="R959" s="530">
        <f>SUM(SUMIFS(R:R,$D:$D,$D959,$E:$E,$E959,$F:$F,{"Serviced Accommodation","Non-Serviced Accommodation","SFR"}))</f>
        <v>1015.9523718942004</v>
      </c>
      <c r="S959" s="530">
        <f>SUM(SUMIFS(S:S,$D:$D,$D959,$E:$E,$E959,$F:$F,{"Serviced Accommodation","Non-Serviced Accommodation","SFR"}))</f>
        <v>825.99097243459914</v>
      </c>
      <c r="T959" s="530">
        <f>SUM(SUMIFS(T:T,$D:$D,$D959,$E:$E,$E959,$F:$F,{"Serviced Accommodation","Non-Serviced Accommodation","SFR"}))</f>
        <v>18717.413759880154</v>
      </c>
      <c r="U959" s="530" t="s">
        <v>61</v>
      </c>
    </row>
    <row r="960" spans="1:21" ht="12.75" customHeight="1" x14ac:dyDescent="0.3">
      <c r="A960" s="530" t="str">
        <f t="shared" si="34"/>
        <v>Gwynedd.2017.Visitor Numbers.Staying Visitor</v>
      </c>
      <c r="B960" s="530" t="s">
        <v>219</v>
      </c>
      <c r="C960" s="530" t="str">
        <f t="shared" si="35"/>
        <v>2017.Visitor Numbers.Staying Visitor</v>
      </c>
      <c r="D960" s="530" t="s">
        <v>236</v>
      </c>
      <c r="E960" s="530" t="s">
        <v>172</v>
      </c>
      <c r="F960" s="530" t="s">
        <v>140</v>
      </c>
      <c r="G960" s="530" t="s">
        <v>140</v>
      </c>
      <c r="H960" s="530">
        <f>SUM(SUMIFS(H:H,$D:$D,$D960,$E:$E,$E960,$F:$F,{"Serviced Accommodation","Non-Serviced Accommodation","SFR"}))</f>
        <v>174.17777653000599</v>
      </c>
      <c r="I960" s="530">
        <f>SUM(SUMIFS(I:I,$D:$D,$D960,$E:$E,$E960,$F:$F,{"Serviced Accommodation","Non-Serviced Accommodation","SFR"}))</f>
        <v>192.05984576243557</v>
      </c>
      <c r="J960" s="530">
        <f>SUM(SUMIFS(J:J,$D:$D,$D960,$E:$E,$E960,$F:$F,{"Serviced Accommodation","Non-Serviced Accommodation","SFR"}))</f>
        <v>383.42688040345718</v>
      </c>
      <c r="K960" s="530">
        <f>SUM(SUMIFS(K:K,$D:$D,$D960,$E:$E,$E960,$F:$F,{"Serviced Accommodation","Non-Serviced Accommodation","SFR"}))</f>
        <v>296.413236093406</v>
      </c>
      <c r="L960" s="530">
        <f>SUM(SUMIFS(L:L,$D:$D,$D960,$E:$E,$E960,$F:$F,{"Serviced Accommodation","Non-Serviced Accommodation","SFR"}))</f>
        <v>302.76532904339223</v>
      </c>
      <c r="M960" s="530">
        <f>SUM(SUMIFS(M:M,$D:$D,$D960,$E:$E,$E960,$F:$F,{"Serviced Accommodation","Non-Serviced Accommodation","SFR"}))</f>
        <v>355.76786018505396</v>
      </c>
      <c r="N960" s="530">
        <f>SUM(SUMIFS(N:N,$D:$D,$D960,$E:$E,$E960,$F:$F,{"Serviced Accommodation","Non-Serviced Accommodation","SFR"}))</f>
        <v>415.68607531002851</v>
      </c>
      <c r="O960" s="530">
        <f>SUM(SUMIFS(O:O,$D:$D,$D960,$E:$E,$E960,$F:$F,{"Serviced Accommodation","Non-Serviced Accommodation","SFR"}))</f>
        <v>446.90029160919744</v>
      </c>
      <c r="P960" s="530">
        <f>SUM(SUMIFS(P:P,$D:$D,$D960,$E:$E,$E960,$F:$F,{"Serviced Accommodation","Non-Serviced Accommodation","SFR"}))</f>
        <v>326.64636386996403</v>
      </c>
      <c r="Q960" s="530">
        <f>SUM(SUMIFS(Q:Q,$D:$D,$D960,$E:$E,$E960,$F:$F,{"Serviced Accommodation","Non-Serviced Accommodation","SFR"}))</f>
        <v>280.58607127877184</v>
      </c>
      <c r="R960" s="530">
        <f>SUM(SUMIFS(R:R,$D:$D,$D960,$E:$E,$E960,$F:$F,{"Serviced Accommodation","Non-Serviced Accommodation","SFR"}))</f>
        <v>249.17618561816141</v>
      </c>
      <c r="S960" s="530">
        <f>SUM(SUMIFS(S:S,$D:$D,$D960,$E:$E,$E960,$F:$F,{"Serviced Accommodation","Non-Serviced Accommodation","SFR"}))</f>
        <v>183.960485611302</v>
      </c>
      <c r="T960" s="530">
        <f>SUM(SUMIFS(T:T,$D:$D,$D960,$E:$E,$E960,$F:$F,{"Serviced Accommodation","Non-Serviced Accommodation","SFR"}))</f>
        <v>3607.5664013151763</v>
      </c>
      <c r="U960" s="530" t="s">
        <v>61</v>
      </c>
    </row>
    <row r="961" spans="1:21" ht="12.75" customHeight="1" x14ac:dyDescent="0.3">
      <c r="A961" s="530" t="str">
        <f t="shared" si="34"/>
        <v>Gwynedd.2017.Vehicle Days.Staying Visitor</v>
      </c>
      <c r="B961" s="530" t="s">
        <v>219</v>
      </c>
      <c r="C961" s="530" t="str">
        <f t="shared" si="35"/>
        <v>2017.Vehicle Days.Staying Visitor</v>
      </c>
      <c r="D961" s="530" t="s">
        <v>236</v>
      </c>
      <c r="E961" s="530" t="s">
        <v>21</v>
      </c>
      <c r="F961" s="530" t="s">
        <v>140</v>
      </c>
      <c r="G961" s="530" t="s">
        <v>140</v>
      </c>
      <c r="H961" s="530">
        <f>SUM(SUMIFS(H:H,$D:$D,$D961,$E:$E,$E961,$F:$F,{"Serviced Accommodation","Non-Serviced Accommodation","SFR"}))</f>
        <v>142.40434620576218</v>
      </c>
      <c r="I961" s="530">
        <f>SUM(SUMIFS(I:I,$D:$D,$D961,$E:$E,$E961,$F:$F,{"Serviced Accommodation","Non-Serviced Accommodation","SFR"}))</f>
        <v>200.07944599631716</v>
      </c>
      <c r="J961" s="530">
        <f>SUM(SUMIFS(J:J,$D:$D,$D961,$E:$E,$E961,$F:$F,{"Serviced Accommodation","Non-Serviced Accommodation","SFR"}))</f>
        <v>484.24667882548249</v>
      </c>
      <c r="K961" s="530">
        <f>SUM(SUMIFS(K:K,$D:$D,$D961,$E:$E,$E961,$F:$F,{"Serviced Accommodation","Non-Serviced Accommodation","SFR"}))</f>
        <v>405.36308551327119</v>
      </c>
      <c r="L961" s="530">
        <f>SUM(SUMIFS(L:L,$D:$D,$D961,$E:$E,$E961,$F:$F,{"Serviced Accommodation","Non-Serviced Accommodation","SFR"}))</f>
        <v>458.02596598988805</v>
      </c>
      <c r="M961" s="530">
        <f>SUM(SUMIFS(M:M,$D:$D,$D961,$E:$E,$E961,$F:$F,{"Serviced Accommodation","Non-Serviced Accommodation","SFR"}))</f>
        <v>562.06472154716198</v>
      </c>
      <c r="N961" s="530">
        <f>SUM(SUMIFS(N:N,$D:$D,$D961,$E:$E,$E961,$F:$F,{"Serviced Accommodation","Non-Serviced Accommodation","SFR"}))</f>
        <v>625.21442940990005</v>
      </c>
      <c r="O961" s="530">
        <f>SUM(SUMIFS(O:O,$D:$D,$D961,$E:$E,$E961,$F:$F,{"Serviced Accommodation","Non-Serviced Accommodation","SFR"}))</f>
        <v>716.17365408264084</v>
      </c>
      <c r="P961" s="530">
        <f>SUM(SUMIFS(P:P,$D:$D,$D961,$E:$E,$E961,$F:$F,{"Serviced Accommodation","Non-Serviced Accommodation","SFR"}))</f>
        <v>496.49808944121389</v>
      </c>
      <c r="Q961" s="530">
        <f>SUM(SUMIFS(Q:Q,$D:$D,$D961,$E:$E,$E961,$F:$F,{"Serviced Accommodation","Non-Serviced Accommodation","SFR"}))</f>
        <v>419.75934898066458</v>
      </c>
      <c r="R961" s="530">
        <f>SUM(SUMIFS(R:R,$D:$D,$D961,$E:$E,$E961,$F:$F,{"Serviced Accommodation","Non-Serviced Accommodation","SFR"}))</f>
        <v>277.59226560513946</v>
      </c>
      <c r="S961" s="530">
        <f>SUM(SUMIFS(S:S,$D:$D,$D961,$E:$E,$E961,$F:$F,{"Serviced Accommodation","Non-Serviced Accommodation","SFR"}))</f>
        <v>212.98394765886871</v>
      </c>
      <c r="T961" s="530">
        <f>SUM(SUMIFS(T:T,$D:$D,$D961,$E:$E,$E961,$F:$F,{"Serviced Accommodation","Non-Serviced Accommodation","SFR"}))</f>
        <v>5000.4059792563112</v>
      </c>
      <c r="U961" s="530" t="s">
        <v>61</v>
      </c>
    </row>
    <row r="962" spans="1:21" ht="12.75" customHeight="1" x14ac:dyDescent="0.3">
      <c r="A962" s="530" t="str">
        <f t="shared" si="34"/>
        <v>Gwynedd.2017.Vehicle Numbers.Staying Visitor</v>
      </c>
      <c r="B962" s="530" t="s">
        <v>219</v>
      </c>
      <c r="C962" s="530" t="str">
        <f t="shared" si="35"/>
        <v>2017.Vehicle Numbers.Staying Visitor</v>
      </c>
      <c r="D962" s="530" t="s">
        <v>236</v>
      </c>
      <c r="E962" s="530" t="s">
        <v>22</v>
      </c>
      <c r="F962" s="530" t="s">
        <v>140</v>
      </c>
      <c r="G962" s="530" t="s">
        <v>140</v>
      </c>
      <c r="H962" s="530">
        <f>SUM(SUMIFS(H:H,$D:$D,$D962,$E:$E,$E962,$F:$F,{"Serviced Accommodation","Non-Serviced Accommodation","SFR"}))</f>
        <v>46.184350408386031</v>
      </c>
      <c r="I962" s="530">
        <f>SUM(SUMIFS(I:I,$D:$D,$D962,$E:$E,$E962,$F:$F,{"Serviced Accommodation","Non-Serviced Accommodation","SFR"}))</f>
        <v>58.16349597153696</v>
      </c>
      <c r="J962" s="530">
        <f>SUM(SUMIFS(J:J,$D:$D,$D962,$E:$E,$E962,$F:$F,{"Serviced Accommodation","Non-Serviced Accommodation","SFR"}))</f>
        <v>110.01891962814753</v>
      </c>
      <c r="K962" s="530">
        <f>SUM(SUMIFS(K:K,$D:$D,$D962,$E:$E,$E962,$F:$F,{"Serviced Accommodation","Non-Serviced Accommodation","SFR"}))</f>
        <v>77.764500604218114</v>
      </c>
      <c r="L962" s="530">
        <f>SUM(SUMIFS(L:L,$D:$D,$D962,$E:$E,$E962,$F:$F,{"Serviced Accommodation","Non-Serviced Accommodation","SFR"}))</f>
        <v>82.056655955238099</v>
      </c>
      <c r="M962" s="530">
        <f>SUM(SUMIFS(M:M,$D:$D,$D962,$E:$E,$E962,$F:$F,{"Serviced Accommodation","Non-Serviced Accommodation","SFR"}))</f>
        <v>97.778391658925074</v>
      </c>
      <c r="N962" s="530">
        <f>SUM(SUMIFS(N:N,$D:$D,$D962,$E:$E,$E962,$F:$F,{"Serviced Accommodation","Non-Serviced Accommodation","SFR"}))</f>
        <v>108.35752056188753</v>
      </c>
      <c r="O962" s="530">
        <f>SUM(SUMIFS(O:O,$D:$D,$D962,$E:$E,$E962,$F:$F,{"Serviced Accommodation","Non-Serviced Accommodation","SFR"}))</f>
        <v>116.21413434018957</v>
      </c>
      <c r="P962" s="530">
        <f>SUM(SUMIFS(P:P,$D:$D,$D962,$E:$E,$E962,$F:$F,{"Serviced Accommodation","Non-Serviced Accommodation","SFR"}))</f>
        <v>87.462649552090241</v>
      </c>
      <c r="Q962" s="530">
        <f>SUM(SUMIFS(Q:Q,$D:$D,$D962,$E:$E,$E962,$F:$F,{"Serviced Accommodation","Non-Serviced Accommodation","SFR"}))</f>
        <v>75.037058695052963</v>
      </c>
      <c r="R962" s="530">
        <f>SUM(SUMIFS(R:R,$D:$D,$D962,$E:$E,$E962,$F:$F,{"Serviced Accommodation","Non-Serviced Accommodation","SFR"}))</f>
        <v>68.507922826478776</v>
      </c>
      <c r="S962" s="530">
        <f>SUM(SUMIFS(S:S,$D:$D,$D962,$E:$E,$E962,$F:$F,{"Serviced Accommodation","Non-Serviced Accommodation","SFR"}))</f>
        <v>47.97287652320427</v>
      </c>
      <c r="T962" s="530">
        <f>SUM(SUMIFS(T:T,$D:$D,$D962,$E:$E,$E962,$F:$F,{"Serviced Accommodation","Non-Serviced Accommodation","SFR"}))</f>
        <v>975.51847672535507</v>
      </c>
      <c r="U962" s="530" t="s">
        <v>61</v>
      </c>
    </row>
    <row r="963" spans="1:21" ht="12.75" customHeight="1" x14ac:dyDescent="0.3">
      <c r="A963" s="530" t="str">
        <f t="shared" ref="A963:A974" si="36">B963&amp;"."&amp;D963&amp;"."&amp;E963&amp;"."&amp;F963</f>
        <v>Gwynedd.2018.Economic Impact.Staying Visitor</v>
      </c>
      <c r="B963" s="530" t="s">
        <v>219</v>
      </c>
      <c r="C963" s="530" t="str">
        <f t="shared" ref="C963:C974" si="37">D963&amp;"."&amp;E963&amp;"."&amp;F963</f>
        <v>2018.Economic Impact.Staying Visitor</v>
      </c>
      <c r="D963" s="530" t="s">
        <v>238</v>
      </c>
      <c r="E963" s="530" t="s">
        <v>17</v>
      </c>
      <c r="F963" s="530" t="s">
        <v>140</v>
      </c>
      <c r="G963" s="530" t="s">
        <v>140</v>
      </c>
      <c r="H963" s="530">
        <f>SUM(SUMIFS(H:H,$D:$D,$D963,$E:$E,$E963,$F:$F,{"Serviced Accommodation","Non-Serviced Accommodation","SFR"}))</f>
        <v>30547.012780196877</v>
      </c>
      <c r="I963" s="530">
        <f>SUM(SUMIFS(I:I,$D:$D,$D963,$E:$E,$E963,$F:$F,{"Serviced Accommodation","Non-Serviced Accommodation","SFR"}))</f>
        <v>35493.032825979819</v>
      </c>
      <c r="J963" s="530">
        <f>SUM(SUMIFS(J:J,$D:$D,$D963,$E:$E,$E963,$F:$F,{"Serviced Accommodation","Non-Serviced Accommodation","SFR"}))</f>
        <v>88591.69780892221</v>
      </c>
      <c r="K963" s="530">
        <f>SUM(SUMIFS(K:K,$D:$D,$D963,$E:$E,$E963,$F:$F,{"Serviced Accommodation","Non-Serviced Accommodation","SFR"}))</f>
        <v>75049.883442145219</v>
      </c>
      <c r="L963" s="530">
        <f>SUM(SUMIFS(L:L,$D:$D,$D963,$E:$E,$E963,$F:$F,{"Serviced Accommodation","Non-Serviced Accommodation","SFR"}))</f>
        <v>93557.480907706296</v>
      </c>
      <c r="M963" s="530">
        <f>SUM(SUMIFS(M:M,$D:$D,$D963,$E:$E,$E963,$F:$F,{"Serviced Accommodation","Non-Serviced Accommodation","SFR"}))</f>
        <v>109866.63436597289</v>
      </c>
      <c r="N963" s="530">
        <f>SUM(SUMIFS(N:N,$D:$D,$D963,$E:$E,$E963,$F:$F,{"Serviced Accommodation","Non-Serviced Accommodation","SFR"}))</f>
        <v>138258.82061890722</v>
      </c>
      <c r="O963" s="530">
        <f>SUM(SUMIFS(O:O,$D:$D,$D963,$E:$E,$E963,$F:$F,{"Serviced Accommodation","Non-Serviced Accommodation","SFR"}))</f>
        <v>161287.75840756512</v>
      </c>
      <c r="P963" s="530">
        <f>SUM(SUMIFS(P:P,$D:$D,$D963,$E:$E,$E963,$F:$F,{"Serviced Accommodation","Non-Serviced Accommodation","SFR"}))</f>
        <v>114951.09449668021</v>
      </c>
      <c r="Q963" s="530">
        <f>SUM(SUMIFS(Q:Q,$D:$D,$D963,$E:$E,$E963,$F:$F,{"Serviced Accommodation","Non-Serviced Accommodation","SFR"}))</f>
        <v>87703.549020641192</v>
      </c>
      <c r="R963" s="530">
        <f>SUM(SUMIFS(R:R,$D:$D,$D963,$E:$E,$E963,$F:$F,{"Serviced Accommodation","Non-Serviced Accommodation","SFR"}))</f>
        <v>52365.122171672978</v>
      </c>
      <c r="S963" s="530">
        <f>SUM(SUMIFS(S:S,$D:$D,$D963,$E:$E,$E963,$F:$F,{"Serviced Accommodation","Non-Serviced Accommodation","SFR"}))</f>
        <v>34068.557952417417</v>
      </c>
      <c r="T963" s="530">
        <f>SUM(SUMIFS(T:T,$D:$D,$D963,$E:$E,$E963,$F:$F,{"Serviced Accommodation","Non-Serviced Accommodation","SFR"}))</f>
        <v>1021740.6447988076</v>
      </c>
      <c r="U963" s="530" t="s">
        <v>57</v>
      </c>
    </row>
    <row r="964" spans="1:21" ht="12.75" customHeight="1" x14ac:dyDescent="0.3">
      <c r="A964" s="530" t="str">
        <f t="shared" si="36"/>
        <v>Gwynedd.2018.Employment.Staying Visitor</v>
      </c>
      <c r="B964" s="530" t="s">
        <v>219</v>
      </c>
      <c r="C964" s="530" t="str">
        <f t="shared" si="37"/>
        <v>2018.Employment.Staying Visitor</v>
      </c>
      <c r="D964" s="530" t="s">
        <v>238</v>
      </c>
      <c r="E964" s="530" t="s">
        <v>20</v>
      </c>
      <c r="F964" s="530" t="s">
        <v>140</v>
      </c>
      <c r="G964" s="530" t="s">
        <v>140</v>
      </c>
      <c r="H964" s="530">
        <f>SUM(SUMIFS(H:H,$D:$D,$D964,$E:$E,$E964,$F:$F,{"Serviced Accommodation","Non-Serviced Accommodation","SFR"}))</f>
        <v>7519.5074722518884</v>
      </c>
      <c r="I964" s="530">
        <f>SUM(SUMIFS(I:I,$D:$D,$D964,$E:$E,$E964,$F:$F,{"Serviced Accommodation","Non-Serviced Accommodation","SFR"}))</f>
        <v>7818.7943790054042</v>
      </c>
      <c r="J964" s="530">
        <f>SUM(SUMIFS(J:J,$D:$D,$D964,$E:$E,$E964,$F:$F,{"Serviced Accommodation","Non-Serviced Accommodation","SFR"}))</f>
        <v>13350.766722732411</v>
      </c>
      <c r="K964" s="530">
        <f>SUM(SUMIFS(K:K,$D:$D,$D964,$E:$E,$E964,$F:$F,{"Serviced Accommodation","Non-Serviced Accommodation","SFR"}))</f>
        <v>12139.658455640492</v>
      </c>
      <c r="L964" s="530">
        <f>SUM(SUMIFS(L:L,$D:$D,$D964,$E:$E,$E964,$F:$F,{"Serviced Accommodation","Non-Serviced Accommodation","SFR"}))</f>
        <v>13851.387565327168</v>
      </c>
      <c r="M964" s="530">
        <f>SUM(SUMIFS(M:M,$D:$D,$D964,$E:$E,$E964,$F:$F,{"Serviced Accommodation","Non-Serviced Accommodation","SFR"}))</f>
        <v>15213.094035135058</v>
      </c>
      <c r="N964" s="530">
        <f>SUM(SUMIFS(N:N,$D:$D,$D964,$E:$E,$E964,$F:$F,{"Serviced Accommodation","Non-Serviced Accommodation","SFR"}))</f>
        <v>16289.560700914812</v>
      </c>
      <c r="O964" s="530">
        <f>SUM(SUMIFS(O:O,$D:$D,$D964,$E:$E,$E964,$F:$F,{"Serviced Accommodation","Non-Serviced Accommodation","SFR"}))</f>
        <v>20453.368907158969</v>
      </c>
      <c r="P964" s="530">
        <f>SUM(SUMIFS(P:P,$D:$D,$D964,$E:$E,$E964,$F:$F,{"Serviced Accommodation","Non-Serviced Accommodation","SFR"}))</f>
        <v>13852.009362391638</v>
      </c>
      <c r="Q964" s="530">
        <f>SUM(SUMIFS(Q:Q,$D:$D,$D964,$E:$E,$E964,$F:$F,{"Serviced Accommodation","Non-Serviced Accommodation","SFR"}))</f>
        <v>12783.830455134812</v>
      </c>
      <c r="R964" s="530">
        <f>SUM(SUMIFS(R:R,$D:$D,$D964,$E:$E,$E964,$F:$F,{"Serviced Accommodation","Non-Serviced Accommodation","SFR"}))</f>
        <v>9031.0785181434658</v>
      </c>
      <c r="S964" s="530">
        <f>SUM(SUMIFS(S:S,$D:$D,$D964,$E:$E,$E964,$F:$F,{"Serviced Accommodation","Non-Serviced Accommodation","SFR"}))</f>
        <v>7649.8408472990413</v>
      </c>
      <c r="T964" s="530">
        <f>SUM(SUMIFS(T:T,$D:$D,$D964,$E:$E,$E964,$F:$F,{"Serviced Accommodation","Non-Serviced Accommodation","SFR"}))</f>
        <v>12496.074785094595</v>
      </c>
      <c r="U964" s="530" t="s">
        <v>59</v>
      </c>
    </row>
    <row r="965" spans="1:21" ht="12.75" customHeight="1" x14ac:dyDescent="0.3">
      <c r="A965" s="530" t="str">
        <f t="shared" si="36"/>
        <v>Gwynedd.2018.Visitor Days.Staying Visitor</v>
      </c>
      <c r="B965" s="530" t="s">
        <v>219</v>
      </c>
      <c r="C965" s="530" t="str">
        <f t="shared" si="37"/>
        <v>2018.Visitor Days.Staying Visitor</v>
      </c>
      <c r="D965" s="530" t="s">
        <v>238</v>
      </c>
      <c r="E965" s="530" t="s">
        <v>171</v>
      </c>
      <c r="F965" s="530" t="s">
        <v>140</v>
      </c>
      <c r="G965" s="530" t="s">
        <v>140</v>
      </c>
      <c r="H965" s="530">
        <f>SUM(SUMIFS(H:H,$D:$D,$D965,$E:$E,$E965,$F:$F,{"Serviced Accommodation","Non-Serviced Accommodation","SFR"}))</f>
        <v>596.12398171756433</v>
      </c>
      <c r="I965" s="530">
        <f>SUM(SUMIFS(I:I,$D:$D,$D965,$E:$E,$E965,$F:$F,{"Serviced Accommodation","Non-Serviced Accommodation","SFR"}))</f>
        <v>643.69344704916307</v>
      </c>
      <c r="J965" s="530">
        <f>SUM(SUMIFS(J:J,$D:$D,$D965,$E:$E,$E965,$F:$F,{"Serviced Accommodation","Non-Serviced Accommodation","SFR"}))</f>
        <v>1748.7089964690401</v>
      </c>
      <c r="K965" s="530">
        <f>SUM(SUMIFS(K:K,$D:$D,$D965,$E:$E,$E965,$F:$F,{"Serviced Accommodation","Non-Serviced Accommodation","SFR"}))</f>
        <v>1534.2980536246243</v>
      </c>
      <c r="L965" s="530">
        <f>SUM(SUMIFS(L:L,$D:$D,$D965,$E:$E,$E965,$F:$F,{"Serviced Accommodation","Non-Serviced Accommodation","SFR"}))</f>
        <v>1911.4382195921605</v>
      </c>
      <c r="M965" s="530">
        <f>SUM(SUMIFS(M:M,$D:$D,$D965,$E:$E,$E965,$F:$F,{"Serviced Accommodation","Non-Serviced Accommodation","SFR"}))</f>
        <v>2187.5398963923526</v>
      </c>
      <c r="N965" s="530">
        <f>SUM(SUMIFS(N:N,$D:$D,$D965,$E:$E,$E965,$F:$F,{"Serviced Accommodation","Non-Serviced Accommodation","SFR"}))</f>
        <v>2509.2367679050844</v>
      </c>
      <c r="O965" s="530">
        <f>SUM(SUMIFS(O:O,$D:$D,$D965,$E:$E,$E965,$F:$F,{"Serviced Accommodation","Non-Serviced Accommodation","SFR"}))</f>
        <v>2850.3110282520474</v>
      </c>
      <c r="P965" s="530">
        <f>SUM(SUMIFS(P:P,$D:$D,$D965,$E:$E,$E965,$F:$F,{"Serviced Accommodation","Non-Serviced Accommodation","SFR"}))</f>
        <v>1937.6076688741721</v>
      </c>
      <c r="Q965" s="530">
        <f>SUM(SUMIFS(Q:Q,$D:$D,$D965,$E:$E,$E965,$F:$F,{"Serviced Accommodation","Non-Serviced Accommodation","SFR"}))</f>
        <v>1685.9547910252875</v>
      </c>
      <c r="R965" s="530">
        <f>SUM(SUMIFS(R:R,$D:$D,$D965,$E:$E,$E965,$F:$F,{"Serviced Accommodation","Non-Serviced Accommodation","SFR"}))</f>
        <v>926.42706448856131</v>
      </c>
      <c r="S965" s="530">
        <f>SUM(SUMIFS(S:S,$D:$D,$D965,$E:$E,$E965,$F:$F,{"Serviced Accommodation","Non-Serviced Accommodation","SFR"}))</f>
        <v>615.82708724515624</v>
      </c>
      <c r="T965" s="530">
        <f>SUM(SUMIFS(T:T,$D:$D,$D965,$E:$E,$E965,$F:$F,{"Serviced Accommodation","Non-Serviced Accommodation","SFR"}))</f>
        <v>19147.167002635215</v>
      </c>
      <c r="U965" s="530" t="s">
        <v>61</v>
      </c>
    </row>
    <row r="966" spans="1:21" ht="12.75" customHeight="1" x14ac:dyDescent="0.3">
      <c r="A966" s="530" t="str">
        <f t="shared" si="36"/>
        <v>Gwynedd.2018.Visitor Numbers.Staying Visitor</v>
      </c>
      <c r="B966" s="530" t="s">
        <v>219</v>
      </c>
      <c r="C966" s="530" t="str">
        <f t="shared" si="37"/>
        <v>2018.Visitor Numbers.Staying Visitor</v>
      </c>
      <c r="D966" s="530" t="s">
        <v>238</v>
      </c>
      <c r="E966" s="530" t="s">
        <v>172</v>
      </c>
      <c r="F966" s="530" t="s">
        <v>140</v>
      </c>
      <c r="G966" s="530" t="s">
        <v>140</v>
      </c>
      <c r="H966" s="530">
        <f>SUM(SUMIFS(H:H,$D:$D,$D966,$E:$E,$E966,$F:$F,{"Serviced Accommodation","Non-Serviced Accommodation","SFR"}))</f>
        <v>195.36368576343722</v>
      </c>
      <c r="I966" s="530">
        <f>SUM(SUMIFS(I:I,$D:$D,$D966,$E:$E,$E966,$F:$F,{"Serviced Accommodation","Non-Serviced Accommodation","SFR"}))</f>
        <v>190.44256490230646</v>
      </c>
      <c r="J966" s="530">
        <f>SUM(SUMIFS(J:J,$D:$D,$D966,$E:$E,$E966,$F:$F,{"Serviced Accommodation","Non-Serviced Accommodation","SFR"}))</f>
        <v>396.80848912161917</v>
      </c>
      <c r="K966" s="530">
        <f>SUM(SUMIFS(K:K,$D:$D,$D966,$E:$E,$E966,$F:$F,{"Serviced Accommodation","Non-Serviced Accommodation","SFR"}))</f>
        <v>295.42294641382983</v>
      </c>
      <c r="L966" s="530">
        <f>SUM(SUMIFS(L:L,$D:$D,$D966,$E:$E,$E966,$F:$F,{"Serviced Accommodation","Non-Serviced Accommodation","SFR"}))</f>
        <v>337.18054963977403</v>
      </c>
      <c r="M966" s="530">
        <f>SUM(SUMIFS(M:M,$D:$D,$D966,$E:$E,$E966,$F:$F,{"Serviced Accommodation","Non-Serviced Accommodation","SFR"}))</f>
        <v>383.39604322728297</v>
      </c>
      <c r="N966" s="530">
        <f>SUM(SUMIFS(N:N,$D:$D,$D966,$E:$E,$E966,$F:$F,{"Serviced Accommodation","Non-Serviced Accommodation","SFR"}))</f>
        <v>432.76086726920045</v>
      </c>
      <c r="O966" s="530">
        <f>SUM(SUMIFS(O:O,$D:$D,$D966,$E:$E,$E966,$F:$F,{"Serviced Accommodation","Non-Serviced Accommodation","SFR"}))</f>
        <v>459.53438275498712</v>
      </c>
      <c r="P966" s="530">
        <f>SUM(SUMIFS(P:P,$D:$D,$D966,$E:$E,$E966,$F:$F,{"Serviced Accommodation","Non-Serviced Accommodation","SFR"}))</f>
        <v>343.89775834839537</v>
      </c>
      <c r="Q966" s="530">
        <f>SUM(SUMIFS(Q:Q,$D:$D,$D966,$E:$E,$E966,$F:$F,{"Serviced Accommodation","Non-Serviced Accommodation","SFR"}))</f>
        <v>303.18260795321009</v>
      </c>
      <c r="R966" s="530">
        <f>SUM(SUMIFS(R:R,$D:$D,$D966,$E:$E,$E966,$F:$F,{"Serviced Accommodation","Non-Serviced Accommodation","SFR"}))</f>
        <v>234.09381651425724</v>
      </c>
      <c r="S966" s="530">
        <f>SUM(SUMIFS(S:S,$D:$D,$D966,$E:$E,$E966,$F:$F,{"Serviced Accommodation","Non-Serviced Accommodation","SFR"}))</f>
        <v>144.4476135381355</v>
      </c>
      <c r="T966" s="530">
        <f>SUM(SUMIFS(T:T,$D:$D,$D966,$E:$E,$E966,$F:$F,{"Serviced Accommodation","Non-Serviced Accommodation","SFR"}))</f>
        <v>3716.5313254464354</v>
      </c>
      <c r="U966" s="530" t="s">
        <v>61</v>
      </c>
    </row>
    <row r="967" spans="1:21" ht="12.75" customHeight="1" x14ac:dyDescent="0.3">
      <c r="A967" s="530" t="str">
        <f t="shared" si="36"/>
        <v>Gwynedd.2018.Vehicle Days.Staying Visitor</v>
      </c>
      <c r="B967" s="530" t="s">
        <v>219</v>
      </c>
      <c r="C967" s="530" t="str">
        <f t="shared" si="37"/>
        <v>2018.Vehicle Days.Staying Visitor</v>
      </c>
      <c r="D967" s="530" t="s">
        <v>238</v>
      </c>
      <c r="E967" s="530" t="s">
        <v>21</v>
      </c>
      <c r="F967" s="530" t="s">
        <v>140</v>
      </c>
      <c r="G967" s="530" t="s">
        <v>140</v>
      </c>
      <c r="H967" s="530">
        <f>SUM(SUMIFS(H:H,$D:$D,$D967,$E:$E,$E967,$F:$F,{"Serviced Accommodation","Non-Serviced Accommodation","SFR"}))</f>
        <v>158.98298305316249</v>
      </c>
      <c r="I967" s="530">
        <f>SUM(SUMIFS(I:I,$D:$D,$D967,$E:$E,$E967,$F:$F,{"Serviced Accommodation","Non-Serviced Accommodation","SFR"}))</f>
        <v>197.53097977010179</v>
      </c>
      <c r="J967" s="530">
        <f>SUM(SUMIFS(J:J,$D:$D,$D967,$E:$E,$E967,$F:$F,{"Serviced Accommodation","Non-Serviced Accommodation","SFR"}))</f>
        <v>493.28000976405764</v>
      </c>
      <c r="K967" s="530">
        <f>SUM(SUMIFS(K:K,$D:$D,$D967,$E:$E,$E967,$F:$F,{"Serviced Accommodation","Non-Serviced Accommodation","SFR"}))</f>
        <v>393.80436942937348</v>
      </c>
      <c r="L967" s="530">
        <f>SUM(SUMIFS(L:L,$D:$D,$D967,$E:$E,$E967,$F:$F,{"Serviced Accommodation","Non-Serviced Accommodation","SFR"}))</f>
        <v>516.68065980916253</v>
      </c>
      <c r="M967" s="530">
        <f>SUM(SUMIFS(M:M,$D:$D,$D967,$E:$E,$E967,$F:$F,{"Serviced Accommodation","Non-Serviced Accommodation","SFR"}))</f>
        <v>599.90994029102967</v>
      </c>
      <c r="N967" s="530">
        <f>SUM(SUMIFS(N:N,$D:$D,$D967,$E:$E,$E967,$F:$F,{"Serviced Accommodation","Non-Serviced Accommodation","SFR"}))</f>
        <v>646.57739737182033</v>
      </c>
      <c r="O967" s="530">
        <f>SUM(SUMIFS(O:O,$D:$D,$D967,$E:$E,$E967,$F:$F,{"Serviced Accommodation","Non-Serviced Accommodation","SFR"}))</f>
        <v>727.48292561498147</v>
      </c>
      <c r="P967" s="530">
        <f>SUM(SUMIFS(P:P,$D:$D,$D967,$E:$E,$E967,$F:$F,{"Serviced Accommodation","Non-Serviced Accommodation","SFR"}))</f>
        <v>520.2782084362907</v>
      </c>
      <c r="Q967" s="530">
        <f>SUM(SUMIFS(Q:Q,$D:$D,$D967,$E:$E,$E967,$F:$F,{"Serviced Accommodation","Non-Serviced Accommodation","SFR"}))</f>
        <v>442.33286132386837</v>
      </c>
      <c r="R967" s="530">
        <f>SUM(SUMIFS(R:R,$D:$D,$D967,$E:$E,$E967,$F:$F,{"Serviced Accommodation","Non-Serviced Accommodation","SFR"}))</f>
        <v>251.61276046602188</v>
      </c>
      <c r="S967" s="530">
        <f>SUM(SUMIFS(S:S,$D:$D,$D967,$E:$E,$E967,$F:$F,{"Serviced Accommodation","Non-Serviced Accommodation","SFR"}))</f>
        <v>155.21871536347658</v>
      </c>
      <c r="T967" s="530">
        <f>SUM(SUMIFS(T:T,$D:$D,$D967,$E:$E,$E967,$F:$F,{"Serviced Accommodation","Non-Serviced Accommodation","SFR"}))</f>
        <v>5103.6918106933481</v>
      </c>
      <c r="U967" s="530" t="s">
        <v>61</v>
      </c>
    </row>
    <row r="968" spans="1:21" ht="12.75" customHeight="1" x14ac:dyDescent="0.3">
      <c r="A968" s="530" t="str">
        <f t="shared" si="36"/>
        <v>Gwynedd.2018.Vehicle Numbers.Staying Visitor</v>
      </c>
      <c r="B968" s="530" t="s">
        <v>219</v>
      </c>
      <c r="C968" s="530" t="str">
        <f t="shared" si="37"/>
        <v>2018.Vehicle Numbers.Staying Visitor</v>
      </c>
      <c r="D968" s="530" t="s">
        <v>238</v>
      </c>
      <c r="E968" s="530" t="s">
        <v>22</v>
      </c>
      <c r="F968" s="530" t="s">
        <v>140</v>
      </c>
      <c r="G968" s="530" t="s">
        <v>140</v>
      </c>
      <c r="H968" s="530">
        <f>SUM(SUMIFS(H:H,$D:$D,$D968,$E:$E,$E968,$F:$F,{"Serviced Accommodation","Non-Serviced Accommodation","SFR"}))</f>
        <v>52.228450044486429</v>
      </c>
      <c r="I968" s="530">
        <f>SUM(SUMIFS(I:I,$D:$D,$D968,$E:$E,$E968,$F:$F,{"Serviced Accommodation","Non-Serviced Accommodation","SFR"}))</f>
        <v>59.322048164248258</v>
      </c>
      <c r="J968" s="530">
        <f>SUM(SUMIFS(J:J,$D:$D,$D968,$E:$E,$E968,$F:$F,{"Serviced Accommodation","Non-Serviced Accommodation","SFR"}))</f>
        <v>113.86180978792025</v>
      </c>
      <c r="K968" s="530">
        <f>SUM(SUMIFS(K:K,$D:$D,$D968,$E:$E,$E968,$F:$F,{"Serviced Accommodation","Non-Serviced Accommodation","SFR"}))</f>
        <v>76.476281045451969</v>
      </c>
      <c r="L968" s="530">
        <f>SUM(SUMIFS(L:L,$D:$D,$D968,$E:$E,$E968,$F:$F,{"Serviced Accommodation","Non-Serviced Accommodation","SFR"}))</f>
        <v>92.251192725499479</v>
      </c>
      <c r="M968" s="530">
        <f>SUM(SUMIFS(M:M,$D:$D,$D968,$E:$E,$E968,$F:$F,{"Serviced Accommodation","Non-Serviced Accommodation","SFR"}))</f>
        <v>105.71553280595128</v>
      </c>
      <c r="N968" s="530">
        <f>SUM(SUMIFS(N:N,$D:$D,$D968,$E:$E,$E968,$F:$F,{"Serviced Accommodation","Non-Serviced Accommodation","SFR"}))</f>
        <v>112.05724804871261</v>
      </c>
      <c r="O968" s="530">
        <f>SUM(SUMIFS(O:O,$D:$D,$D968,$E:$E,$E968,$F:$F,{"Serviced Accommodation","Non-Serviced Accommodation","SFR"}))</f>
        <v>117.87977140236269</v>
      </c>
      <c r="P968" s="530">
        <f>SUM(SUMIFS(P:P,$D:$D,$D968,$E:$E,$E968,$F:$F,{"Serviced Accommodation","Non-Serviced Accommodation","SFR"}))</f>
        <v>92.562526921421608</v>
      </c>
      <c r="Q968" s="530">
        <f>SUM(SUMIFS(Q:Q,$D:$D,$D968,$E:$E,$E968,$F:$F,{"Serviced Accommodation","Non-Serviced Accommodation","SFR"}))</f>
        <v>81.019784609771548</v>
      </c>
      <c r="R968" s="530">
        <f>SUM(SUMIFS(R:R,$D:$D,$D968,$E:$E,$E968,$F:$F,{"Serviced Accommodation","Non-Serviced Accommodation","SFR"}))</f>
        <v>64.140453117476483</v>
      </c>
      <c r="S968" s="530">
        <f>SUM(SUMIFS(S:S,$D:$D,$D968,$E:$E,$E968,$F:$F,{"Serviced Accommodation","Non-Serviced Accommodation","SFR"}))</f>
        <v>37.048645751923644</v>
      </c>
      <c r="T968" s="530">
        <f>SUM(SUMIFS(T:T,$D:$D,$D968,$E:$E,$E968,$F:$F,{"Serviced Accommodation","Non-Serviced Accommodation","SFR"}))</f>
        <v>1004.5637444252263</v>
      </c>
      <c r="U968" s="530" t="s">
        <v>61</v>
      </c>
    </row>
    <row r="969" spans="1:21" ht="12.75" customHeight="1" x14ac:dyDescent="0.3">
      <c r="A969" s="530" t="str">
        <f t="shared" si="36"/>
        <v>Gwynedd.2019.Economic Impact.Staying Visitor</v>
      </c>
      <c r="B969" s="530" t="s">
        <v>219</v>
      </c>
      <c r="C969" s="530" t="str">
        <f t="shared" si="37"/>
        <v>2019.Economic Impact.Staying Visitor</v>
      </c>
      <c r="D969" s="530" t="s">
        <v>239</v>
      </c>
      <c r="E969" s="530" t="s">
        <v>17</v>
      </c>
      <c r="F969" s="530" t="s">
        <v>140</v>
      </c>
      <c r="G969" s="530" t="s">
        <v>140</v>
      </c>
      <c r="H969" s="530">
        <f>SUM(SUMIFS(H:H,$D:$D,$D969,$E:$E,$E969,$F:$F,{"Serviced Accommodation","Non-Serviced Accommodation","SFR"}))</f>
        <v>36103.393250687601</v>
      </c>
      <c r="I969" s="530">
        <f>SUM(SUMIFS(I:I,$D:$D,$D969,$E:$E,$E969,$F:$F,{"Serviced Accommodation","Non-Serviced Accommodation","SFR"}))</f>
        <v>40922.74232113365</v>
      </c>
      <c r="J969" s="530">
        <f>SUM(SUMIFS(J:J,$D:$D,$D969,$E:$E,$E969,$F:$F,{"Serviced Accommodation","Non-Serviced Accommodation","SFR"}))</f>
        <v>99571.947879734827</v>
      </c>
      <c r="K969" s="530">
        <f>SUM(SUMIFS(K:K,$D:$D,$D969,$E:$E,$E969,$F:$F,{"Serviced Accommodation","Non-Serviced Accommodation","SFR"}))</f>
        <v>92509.962225297699</v>
      </c>
      <c r="L969" s="530">
        <f>SUM(SUMIFS(L:L,$D:$D,$D969,$E:$E,$E969,$F:$F,{"Serviced Accommodation","Non-Serviced Accommodation","SFR"}))</f>
        <v>112410.22117535134</v>
      </c>
      <c r="M969" s="530">
        <f>SUM(SUMIFS(M:M,$D:$D,$D969,$E:$E,$E969,$F:$F,{"Serviced Accommodation","Non-Serviced Accommodation","SFR"}))</f>
        <v>120658.83696061521</v>
      </c>
      <c r="N969" s="530">
        <f>SUM(SUMIFS(N:N,$D:$D,$D969,$E:$E,$E969,$F:$F,{"Serviced Accommodation","Non-Serviced Accommodation","SFR"}))</f>
        <v>153046.1717159691</v>
      </c>
      <c r="O969" s="530">
        <f>SUM(SUMIFS(O:O,$D:$D,$D969,$E:$E,$E969,$F:$F,{"Serviced Accommodation","Non-Serviced Accommodation","SFR"}))</f>
        <v>172004.11599855227</v>
      </c>
      <c r="P969" s="530">
        <f>SUM(SUMIFS(P:P,$D:$D,$D969,$E:$E,$E969,$F:$F,{"Serviced Accommodation","Non-Serviced Accommodation","SFR"}))</f>
        <v>129049.52418975563</v>
      </c>
      <c r="Q969" s="530">
        <f>SUM(SUMIFS(Q:Q,$D:$D,$D969,$E:$E,$E969,$F:$F,{"Serviced Accommodation","Non-Serviced Accommodation","SFR"}))</f>
        <v>96691.674252002398</v>
      </c>
      <c r="R969" s="530">
        <f>SUM(SUMIFS(R:R,$D:$D,$D969,$E:$E,$E969,$F:$F,{"Serviced Accommodation","Non-Serviced Accommodation","SFR"}))</f>
        <v>56064.334299974478</v>
      </c>
      <c r="S969" s="530">
        <f>SUM(SUMIFS(S:S,$D:$D,$D969,$E:$E,$E969,$F:$F,{"Serviced Accommodation","Non-Serviced Accommodation","SFR"}))</f>
        <v>55150.712531539029</v>
      </c>
      <c r="T969" s="530">
        <f>SUM(SUMIFS(T:T,$D:$D,$D969,$E:$E,$E969,$F:$F,{"Serviced Accommodation","Non-Serviced Accommodation","SFR"}))</f>
        <v>1164183.6368006133</v>
      </c>
      <c r="U969" s="530" t="s">
        <v>57</v>
      </c>
    </row>
    <row r="970" spans="1:21" ht="12.75" customHeight="1" x14ac:dyDescent="0.3">
      <c r="A970" s="530" t="str">
        <f t="shared" si="36"/>
        <v>Gwynedd.2019.Employment.Staying Visitor</v>
      </c>
      <c r="B970" s="530" t="s">
        <v>219</v>
      </c>
      <c r="C970" s="530" t="str">
        <f t="shared" si="37"/>
        <v>2019.Employment.Staying Visitor</v>
      </c>
      <c r="D970" s="530" t="s">
        <v>239</v>
      </c>
      <c r="E970" s="530" t="s">
        <v>20</v>
      </c>
      <c r="F970" s="530" t="s">
        <v>140</v>
      </c>
      <c r="G970" s="530" t="s">
        <v>140</v>
      </c>
      <c r="H970" s="530">
        <f>SUM(SUMIFS(H:H,$D:$D,$D970,$E:$E,$E970,$F:$F,{"Serviced Accommodation","Non-Serviced Accommodation","SFR"}))</f>
        <v>7886.0971151620524</v>
      </c>
      <c r="I970" s="530">
        <f>SUM(SUMIFS(I:I,$D:$D,$D970,$E:$E,$E970,$F:$F,{"Serviced Accommodation","Non-Serviced Accommodation","SFR"}))</f>
        <v>8177.9250946200336</v>
      </c>
      <c r="J970" s="530">
        <f>SUM(SUMIFS(J:J,$D:$D,$D970,$E:$E,$E970,$F:$F,{"Serviced Accommodation","Non-Serviced Accommodation","SFR"}))</f>
        <v>14178.799057680573</v>
      </c>
      <c r="K970" s="530">
        <f>SUM(SUMIFS(K:K,$D:$D,$D970,$E:$E,$E970,$F:$F,{"Serviced Accommodation","Non-Serviced Accommodation","SFR"}))</f>
        <v>12803.128369470571</v>
      </c>
      <c r="L970" s="530">
        <f>SUM(SUMIFS(L:L,$D:$D,$D970,$E:$E,$E970,$F:$F,{"Serviced Accommodation","Non-Serviced Accommodation","SFR"}))</f>
        <v>14552.609652022686</v>
      </c>
      <c r="M970" s="530">
        <f>SUM(SUMIFS(M:M,$D:$D,$D970,$E:$E,$E970,$F:$F,{"Serviced Accommodation","Non-Serviced Accommodation","SFR"}))</f>
        <v>15144.645053655337</v>
      </c>
      <c r="N970" s="530">
        <f>SUM(SUMIFS(N:N,$D:$D,$D970,$E:$E,$E970,$F:$F,{"Serviced Accommodation","Non-Serviced Accommodation","SFR"}))</f>
        <v>16521.653431725881</v>
      </c>
      <c r="O970" s="530">
        <f>SUM(SUMIFS(O:O,$D:$D,$D970,$E:$E,$E970,$F:$F,{"Serviced Accommodation","Non-Serviced Accommodation","SFR"}))</f>
        <v>19812.80087501345</v>
      </c>
      <c r="P970" s="530">
        <f>SUM(SUMIFS(P:P,$D:$D,$D970,$E:$E,$E970,$F:$F,{"Serviced Accommodation","Non-Serviced Accommodation","SFR"}))</f>
        <v>14502.133587272196</v>
      </c>
      <c r="Q970" s="530">
        <f>SUM(SUMIFS(Q:Q,$D:$D,$D970,$E:$E,$E970,$F:$F,{"Serviced Accommodation","Non-Serviced Accommodation","SFR"}))</f>
        <v>13446.625749047356</v>
      </c>
      <c r="R970" s="530">
        <f>SUM(SUMIFS(R:R,$D:$D,$D970,$E:$E,$E970,$F:$F,{"Serviced Accommodation","Non-Serviced Accommodation","SFR"}))</f>
        <v>9153.4763234709735</v>
      </c>
      <c r="S970" s="530">
        <f>SUM(SUMIFS(S:S,$D:$D,$D970,$E:$E,$E970,$F:$F,{"Serviced Accommodation","Non-Serviced Accommodation","SFR"}))</f>
        <v>8786.7346225104247</v>
      </c>
      <c r="T970" s="530">
        <f>SUM(SUMIFS(T:T,$D:$D,$D970,$E:$E,$E970,$F:$F,{"Serviced Accommodation","Non-Serviced Accommodation","SFR"}))</f>
        <v>12913.885744304296</v>
      </c>
      <c r="U970" s="530" t="s">
        <v>59</v>
      </c>
    </row>
    <row r="971" spans="1:21" ht="12.75" customHeight="1" x14ac:dyDescent="0.3">
      <c r="A971" s="530" t="str">
        <f t="shared" si="36"/>
        <v>Gwynedd.2019.Visitor Days.Staying Visitor</v>
      </c>
      <c r="B971" s="530" t="s">
        <v>219</v>
      </c>
      <c r="C971" s="530" t="str">
        <f t="shared" si="37"/>
        <v>2019.Visitor Days.Staying Visitor</v>
      </c>
      <c r="D971" s="530" t="s">
        <v>239</v>
      </c>
      <c r="E971" s="530" t="s">
        <v>171</v>
      </c>
      <c r="F971" s="530" t="s">
        <v>140</v>
      </c>
      <c r="G971" s="530" t="s">
        <v>140</v>
      </c>
      <c r="H971" s="530">
        <f>SUM(SUMIFS(H:H,$D:$D,$D971,$E:$E,$E971,$F:$F,{"Serviced Accommodation","Non-Serviced Accommodation","SFR"}))</f>
        <v>664.78030219267805</v>
      </c>
      <c r="I971" s="530">
        <f>SUM(SUMIFS(I:I,$D:$D,$D971,$E:$E,$E971,$F:$F,{"Serviced Accommodation","Non-Serviced Accommodation","SFR"}))</f>
        <v>705.7835847852723</v>
      </c>
      <c r="J971" s="530">
        <f>SUM(SUMIFS(J:J,$D:$D,$D971,$E:$E,$E971,$F:$F,{"Serviced Accommodation","Non-Serviced Accommodation","SFR"}))</f>
        <v>1856.4046967079912</v>
      </c>
      <c r="K971" s="530">
        <f>SUM(SUMIFS(K:K,$D:$D,$D971,$E:$E,$E971,$F:$F,{"Serviced Accommodation","Non-Serviced Accommodation","SFR"}))</f>
        <v>1653.5410293617956</v>
      </c>
      <c r="L971" s="530">
        <f>SUM(SUMIFS(L:L,$D:$D,$D971,$E:$E,$E971,$F:$F,{"Serviced Accommodation","Non-Serviced Accommodation","SFR"}))</f>
        <v>2038.6245875039372</v>
      </c>
      <c r="M971" s="530">
        <f>SUM(SUMIFS(M:M,$D:$D,$D971,$E:$E,$E971,$F:$F,{"Serviced Accommodation","Non-Serviced Accommodation","SFR"}))</f>
        <v>2158.7526494772173</v>
      </c>
      <c r="N971" s="530">
        <f>SUM(SUMIFS(N:N,$D:$D,$D971,$E:$E,$E971,$F:$F,{"Serviced Accommodation","Non-Serviced Accommodation","SFR"}))</f>
        <v>2539.2330778686733</v>
      </c>
      <c r="O971" s="530">
        <f>SUM(SUMIFS(O:O,$D:$D,$D971,$E:$E,$E971,$F:$F,{"Serviced Accommodation","Non-Serviced Accommodation","SFR"}))</f>
        <v>2847.5759715411741</v>
      </c>
      <c r="P971" s="530">
        <f>SUM(SUMIFS(P:P,$D:$D,$D971,$E:$E,$E971,$F:$F,{"Serviced Accommodation","Non-Serviced Accommodation","SFR"}))</f>
        <v>2039.0186591604686</v>
      </c>
      <c r="Q971" s="530">
        <f>SUM(SUMIFS(Q:Q,$D:$D,$D971,$E:$E,$E971,$F:$F,{"Serviced Accommodation","Non-Serviced Accommodation","SFR"}))</f>
        <v>1783.3483491410311</v>
      </c>
      <c r="R971" s="530">
        <f>SUM(SUMIFS(R:R,$D:$D,$D971,$E:$E,$E971,$F:$F,{"Serviced Accommodation","Non-Serviced Accommodation","SFR"}))</f>
        <v>936.13647622215967</v>
      </c>
      <c r="S971" s="530">
        <f>SUM(SUMIFS(S:S,$D:$D,$D971,$E:$E,$E971,$F:$F,{"Serviced Accommodation","Non-Serviced Accommodation","SFR"}))</f>
        <v>872.51065888835342</v>
      </c>
      <c r="T971" s="530">
        <f>SUM(SUMIFS(T:T,$D:$D,$D971,$E:$E,$E971,$F:$F,{"Serviced Accommodation","Non-Serviced Accommodation","SFR"}))</f>
        <v>20095.710042850751</v>
      </c>
      <c r="U971" s="530" t="s">
        <v>61</v>
      </c>
    </row>
    <row r="972" spans="1:21" ht="12.75" customHeight="1" x14ac:dyDescent="0.3">
      <c r="A972" s="530" t="str">
        <f t="shared" si="36"/>
        <v>Gwynedd.2019.Visitor Numbers.Staying Visitor</v>
      </c>
      <c r="B972" s="530" t="s">
        <v>219</v>
      </c>
      <c r="C972" s="530" t="str">
        <f t="shared" si="37"/>
        <v>2019.Visitor Numbers.Staying Visitor</v>
      </c>
      <c r="D972" s="530" t="s">
        <v>239</v>
      </c>
      <c r="E972" s="530" t="s">
        <v>172</v>
      </c>
      <c r="F972" s="530" t="s">
        <v>140</v>
      </c>
      <c r="G972" s="530" t="s">
        <v>140</v>
      </c>
      <c r="H972" s="530">
        <f>SUM(SUMIFS(H:H,$D:$D,$D972,$E:$E,$E972,$F:$F,{"Serviced Accommodation","Non-Serviced Accommodation","SFR"}))</f>
        <v>215.41958382801786</v>
      </c>
      <c r="I972" s="530">
        <f>SUM(SUMIFS(I:I,$D:$D,$D972,$E:$E,$E972,$F:$F,{"Serviced Accommodation","Non-Serviced Accommodation","SFR"}))</f>
        <v>202.89510987765863</v>
      </c>
      <c r="J972" s="530">
        <f>SUM(SUMIFS(J:J,$D:$D,$D972,$E:$E,$E972,$F:$F,{"Serviced Accommodation","Non-Serviced Accommodation","SFR"}))</f>
        <v>416.97452518099419</v>
      </c>
      <c r="K972" s="530">
        <f>SUM(SUMIFS(K:K,$D:$D,$D972,$E:$E,$E972,$F:$F,{"Serviced Accommodation","Non-Serviced Accommodation","SFR"}))</f>
        <v>320.88652943869482</v>
      </c>
      <c r="L972" s="530">
        <f>SUM(SUMIFS(L:L,$D:$D,$D972,$E:$E,$E972,$F:$F,{"Serviced Accommodation","Non-Serviced Accommodation","SFR"}))</f>
        <v>366.90544704854744</v>
      </c>
      <c r="M972" s="530">
        <f>SUM(SUMIFS(M:M,$D:$D,$D972,$E:$E,$E972,$F:$F,{"Serviced Accommodation","Non-Serviced Accommodation","SFR"}))</f>
        <v>388.17594837038791</v>
      </c>
      <c r="N972" s="530">
        <f>SUM(SUMIFS(N:N,$D:$D,$D972,$E:$E,$E972,$F:$F,{"Serviced Accommodation","Non-Serviced Accommodation","SFR"}))</f>
        <v>442.82643836574675</v>
      </c>
      <c r="O972" s="530">
        <f>SUM(SUMIFS(O:O,$D:$D,$D972,$E:$E,$E972,$F:$F,{"Serviced Accommodation","Non-Serviced Accommodation","SFR"}))</f>
        <v>465.3302834450318</v>
      </c>
      <c r="P972" s="530">
        <f>SUM(SUMIFS(P:P,$D:$D,$D972,$E:$E,$E972,$F:$F,{"Serviced Accommodation","Non-Serviced Accommodation","SFR"}))</f>
        <v>375.18203716138692</v>
      </c>
      <c r="Q972" s="530">
        <f>SUM(SUMIFS(Q:Q,$D:$D,$D972,$E:$E,$E972,$F:$F,{"Serviced Accommodation","Non-Serviced Accommodation","SFR"}))</f>
        <v>324.99632545651815</v>
      </c>
      <c r="R972" s="530">
        <f>SUM(SUMIFS(R:R,$D:$D,$D972,$E:$E,$E972,$F:$F,{"Serviced Accommodation","Non-Serviced Accommodation","SFR"}))</f>
        <v>247.86457660634113</v>
      </c>
      <c r="S972" s="530">
        <f>SUM(SUMIFS(S:S,$D:$D,$D972,$E:$E,$E972,$F:$F,{"Serviced Accommodation","Non-Serviced Accommodation","SFR"}))</f>
        <v>205.33760040262013</v>
      </c>
      <c r="T972" s="530">
        <f>SUM(SUMIFS(T:T,$D:$D,$D972,$E:$E,$E972,$F:$F,{"Serviced Accommodation","Non-Serviced Accommodation","SFR"}))</f>
        <v>3972.7944051819459</v>
      </c>
      <c r="U972" s="530" t="s">
        <v>61</v>
      </c>
    </row>
    <row r="973" spans="1:21" ht="12.75" customHeight="1" x14ac:dyDescent="0.3">
      <c r="A973" s="530" t="str">
        <f t="shared" si="36"/>
        <v>Gwynedd.2019.Vehicle Days.Staying Visitor</v>
      </c>
      <c r="B973" s="530" t="s">
        <v>219</v>
      </c>
      <c r="C973" s="530" t="str">
        <f t="shared" si="37"/>
        <v>2019.Vehicle Days.Staying Visitor</v>
      </c>
      <c r="D973" s="530" t="s">
        <v>239</v>
      </c>
      <c r="E973" s="530" t="s">
        <v>21</v>
      </c>
      <c r="F973" s="530" t="s">
        <v>140</v>
      </c>
      <c r="G973" s="530" t="s">
        <v>140</v>
      </c>
      <c r="H973" s="530">
        <f>SUM(SUMIFS(H:H,$D:$D,$D973,$E:$E,$E973,$F:$F,{"Serviced Accommodation","Non-Serviced Accommodation","SFR"}))</f>
        <v>178.05760953502107</v>
      </c>
      <c r="I973" s="530">
        <f>SUM(SUMIFS(I:I,$D:$D,$D973,$E:$E,$E973,$F:$F,{"Serviced Accommodation","Non-Serviced Accommodation","SFR"}))</f>
        <v>219.43438929668258</v>
      </c>
      <c r="J973" s="530">
        <f>SUM(SUMIFS(J:J,$D:$D,$D973,$E:$E,$E973,$F:$F,{"Serviced Accommodation","Non-Serviced Accommodation","SFR"}))</f>
        <v>524.48087616828832</v>
      </c>
      <c r="K973" s="530">
        <f>SUM(SUMIFS(K:K,$D:$D,$D973,$E:$E,$E973,$F:$F,{"Serviced Accommodation","Non-Serviced Accommodation","SFR"}))</f>
        <v>425.3245178128833</v>
      </c>
      <c r="L973" s="530">
        <f>SUM(SUMIFS(L:L,$D:$D,$D973,$E:$E,$E973,$F:$F,{"Serviced Accommodation","Non-Serviced Accommodation","SFR"}))</f>
        <v>553.70810998029401</v>
      </c>
      <c r="M973" s="530">
        <f>SUM(SUMIFS(M:M,$D:$D,$D973,$E:$E,$E973,$F:$F,{"Serviced Accommodation","Non-Serviced Accommodation","SFR"}))</f>
        <v>589.44395193066589</v>
      </c>
      <c r="N973" s="530">
        <f>SUM(SUMIFS(N:N,$D:$D,$D973,$E:$E,$E973,$F:$F,{"Serviced Accommodation","Non-Serviced Accommodation","SFR"}))</f>
        <v>648.75757274239845</v>
      </c>
      <c r="O973" s="530">
        <f>SUM(SUMIFS(O:O,$D:$D,$D973,$E:$E,$E973,$F:$F,{"Serviced Accommodation","Non-Serviced Accommodation","SFR"}))</f>
        <v>719.03021870353462</v>
      </c>
      <c r="P973" s="530">
        <f>SUM(SUMIFS(P:P,$D:$D,$D973,$E:$E,$E973,$F:$F,{"Serviced Accommodation","Non-Serviced Accommodation","SFR"}))</f>
        <v>550.97710873996346</v>
      </c>
      <c r="Q973" s="530">
        <f>SUM(SUMIFS(Q:Q,$D:$D,$D973,$E:$E,$E973,$F:$F,{"Serviced Accommodation","Non-Serviced Accommodation","SFR"}))</f>
        <v>471.47486931232999</v>
      </c>
      <c r="R973" s="530">
        <f>SUM(SUMIFS(R:R,$D:$D,$D973,$E:$E,$E973,$F:$F,{"Serviced Accommodation","Non-Serviced Accommodation","SFR"}))</f>
        <v>254.52734940320869</v>
      </c>
      <c r="S973" s="530">
        <f>SUM(SUMIFS(S:S,$D:$D,$D973,$E:$E,$E973,$F:$F,{"Serviced Accommodation","Non-Serviced Accommodation","SFR"}))</f>
        <v>211.33224052588659</v>
      </c>
      <c r="T973" s="530">
        <f>SUM(SUMIFS(T:T,$D:$D,$D973,$E:$E,$E973,$F:$F,{"Serviced Accommodation","Non-Serviced Accommodation","SFR"}))</f>
        <v>5346.5488141511569</v>
      </c>
      <c r="U973" s="530" t="s">
        <v>61</v>
      </c>
    </row>
    <row r="974" spans="1:21" ht="12.75" customHeight="1" x14ac:dyDescent="0.3">
      <c r="A974" s="530" t="str">
        <f t="shared" si="36"/>
        <v>Gwynedd.2019.Vehicle Numbers.Staying Visitor</v>
      </c>
      <c r="B974" s="530" t="s">
        <v>219</v>
      </c>
      <c r="C974" s="530" t="str">
        <f t="shared" si="37"/>
        <v>2019.Vehicle Numbers.Staying Visitor</v>
      </c>
      <c r="D974" s="530" t="s">
        <v>239</v>
      </c>
      <c r="E974" s="530" t="s">
        <v>22</v>
      </c>
      <c r="F974" s="530" t="s">
        <v>140</v>
      </c>
      <c r="G974" s="530" t="s">
        <v>140</v>
      </c>
      <c r="H974" s="530">
        <f>SUM(SUMIFS(H:H,$D:$D,$D974,$E:$E,$E974,$F:$F,{"Serviced Accommodation","Non-Serviced Accommodation","SFR"}))</f>
        <v>57.8050198030299</v>
      </c>
      <c r="I974" s="530">
        <f>SUM(SUMIFS(I:I,$D:$D,$D974,$E:$E,$E974,$F:$F,{"Serviced Accommodation","Non-Serviced Accommodation","SFR"}))</f>
        <v>63.750921451475762</v>
      </c>
      <c r="J974" s="530">
        <f>SUM(SUMIFS(J:J,$D:$D,$D974,$E:$E,$E974,$F:$F,{"Serviced Accommodation","Non-Serviced Accommodation","SFR"}))</f>
        <v>119.41441195711272</v>
      </c>
      <c r="K974" s="530">
        <f>SUM(SUMIFS(K:K,$D:$D,$D974,$E:$E,$E974,$F:$F,{"Serviced Accommodation","Non-Serviced Accommodation","SFR"}))</f>
        <v>83.081651853025463</v>
      </c>
      <c r="L974" s="530">
        <f>SUM(SUMIFS(L:L,$D:$D,$D974,$E:$E,$E974,$F:$F,{"Serviced Accommodation","Non-Serviced Accommodation","SFR"}))</f>
        <v>100.93691009993763</v>
      </c>
      <c r="M974" s="530">
        <f>SUM(SUMIFS(M:M,$D:$D,$D974,$E:$E,$E974,$F:$F,{"Serviced Accommodation","Non-Serviced Accommodation","SFR"}))</f>
        <v>106.8438413257114</v>
      </c>
      <c r="N974" s="530">
        <f>SUM(SUMIFS(N:N,$D:$D,$D974,$E:$E,$E974,$F:$F,{"Serviced Accommodation","Non-Serviced Accommodation","SFR"}))</f>
        <v>113.69692574778963</v>
      </c>
      <c r="O974" s="530">
        <f>SUM(SUMIFS(O:O,$D:$D,$D974,$E:$E,$E974,$F:$F,{"Serviced Accommodation","Non-Serviced Accommodation","SFR"}))</f>
        <v>118.03669163080211</v>
      </c>
      <c r="P974" s="530">
        <f>SUM(SUMIFS(P:P,$D:$D,$D974,$E:$E,$E974,$F:$F,{"Serviced Accommodation","Non-Serviced Accommodation","SFR"}))</f>
        <v>101.87615997179189</v>
      </c>
      <c r="Q974" s="530">
        <f>SUM(SUMIFS(Q:Q,$D:$D,$D974,$E:$E,$E974,$F:$F,{"Serviced Accommodation","Non-Serviced Accommodation","SFR"}))</f>
        <v>87.225397959200563</v>
      </c>
      <c r="R974" s="530">
        <f>SUM(SUMIFS(R:R,$D:$D,$D974,$E:$E,$E974,$F:$F,{"Serviced Accommodation","Non-Serviced Accommodation","SFR"}))</f>
        <v>68.097600134917215</v>
      </c>
      <c r="S974" s="530">
        <f>SUM(SUMIFS(S:S,$D:$D,$D974,$E:$E,$E974,$F:$F,{"Serviced Accommodation","Non-Serviced Accommodation","SFR"}))</f>
        <v>50.426989493443344</v>
      </c>
      <c r="T974" s="530">
        <f>SUM(SUMIFS(T:T,$D:$D,$D974,$E:$E,$E974,$F:$F,{"Serviced Accommodation","Non-Serviced Accommodation","SFR"}))</f>
        <v>1071.1925214282378</v>
      </c>
      <c r="U974" s="530" t="s">
        <v>61</v>
      </c>
    </row>
    <row r="975" spans="1:21" ht="12.75" customHeight="1" x14ac:dyDescent="0.3">
      <c r="A975" s="530" t="str">
        <f t="shared" ref="A975:A986" si="38">B975&amp;"."&amp;D975&amp;"."&amp;E975&amp;"."&amp;F975</f>
        <v>Gwynedd.2020.Economic Impact.Staying Visitor</v>
      </c>
      <c r="B975" s="530" t="s">
        <v>219</v>
      </c>
      <c r="C975" s="530" t="str">
        <f t="shared" ref="C975:C986" si="39">D975&amp;"."&amp;E975&amp;"."&amp;F975</f>
        <v>2020.Economic Impact.Staying Visitor</v>
      </c>
      <c r="D975" s="530" t="s">
        <v>240</v>
      </c>
      <c r="E975" s="530" t="s">
        <v>17</v>
      </c>
      <c r="F975" s="530" t="s">
        <v>140</v>
      </c>
      <c r="G975" s="530" t="s">
        <v>140</v>
      </c>
      <c r="H975" s="530">
        <f>SUM(SUMIFS(H:H,$D:$D,$D975,$E:$E,$E975,$F:$F,{"Serviced Accommodation","Non-Serviced Accommodation","SFR"}))</f>
        <v>29311.804511678631</v>
      </c>
      <c r="I975" s="530">
        <f>SUM(SUMIFS(I:I,$D:$D,$D975,$E:$E,$E975,$F:$F,{"Serviced Accommodation","Non-Serviced Accommodation","SFR"}))</f>
        <v>34072.83088374653</v>
      </c>
      <c r="J975" s="530">
        <f>SUM(SUMIFS(J:J,$D:$D,$D975,$E:$E,$E975,$F:$F,{"Serviced Accommodation","Non-Serviced Accommodation","SFR"}))</f>
        <v>67256.599358685853</v>
      </c>
      <c r="K975" s="530">
        <f>SUM(SUMIFS(K:K,$D:$D,$D975,$E:$E,$E975,$F:$F,{"Serviced Accommodation","Non-Serviced Accommodation","SFR"}))</f>
        <v>0</v>
      </c>
      <c r="L975" s="530">
        <f>SUM(SUMIFS(L:L,$D:$D,$D975,$E:$E,$E975,$F:$F,{"Serviced Accommodation","Non-Serviced Accommodation","SFR"}))</f>
        <v>0</v>
      </c>
      <c r="M975" s="530">
        <f>SUM(SUMIFS(M:M,$D:$D,$D975,$E:$E,$E975,$F:$F,{"Serviced Accommodation","Non-Serviced Accommodation","SFR"}))</f>
        <v>0</v>
      </c>
      <c r="N975" s="530">
        <f>SUM(SUMIFS(N:N,$D:$D,$D975,$E:$E,$E975,$F:$F,{"Serviced Accommodation","Non-Serviced Accommodation","SFR"}))</f>
        <v>42254.461948310309</v>
      </c>
      <c r="O975" s="530">
        <f>SUM(SUMIFS(O:O,$D:$D,$D975,$E:$E,$E975,$F:$F,{"Serviced Accommodation","Non-Serviced Accommodation","SFR"}))</f>
        <v>126692.13880581569</v>
      </c>
      <c r="P975" s="530">
        <f>SUM(SUMIFS(P:P,$D:$D,$D975,$E:$E,$E975,$F:$F,{"Serviced Accommodation","Non-Serviced Accommodation","SFR"}))</f>
        <v>111696.5115431642</v>
      </c>
      <c r="Q975" s="530">
        <f>SUM(SUMIFS(Q:Q,$D:$D,$D975,$E:$E,$E975,$F:$F,{"Serviced Accommodation","Non-Serviced Accommodation","SFR"}))</f>
        <v>45927.555034378842</v>
      </c>
      <c r="R975" s="530">
        <f>SUM(SUMIFS(R:R,$D:$D,$D975,$E:$E,$E975,$F:$F,{"Serviced Accommodation","Non-Serviced Accommodation","SFR"}))</f>
        <v>12063.860324537927</v>
      </c>
      <c r="S975" s="530">
        <f>SUM(SUMIFS(S:S,$D:$D,$D975,$E:$E,$E975,$F:$F,{"Serviced Accommodation","Non-Serviced Accommodation","SFR"}))</f>
        <v>6094.1916161616755</v>
      </c>
      <c r="T975" s="530">
        <f>SUM(SUMIFS(T:T,$D:$D,$D975,$E:$E,$E975,$F:$F,{"Serviced Accommodation","Non-Serviced Accommodation","SFR"}))</f>
        <v>475369.95402647968</v>
      </c>
      <c r="U975" s="530" t="s">
        <v>57</v>
      </c>
    </row>
    <row r="976" spans="1:21" ht="12.75" customHeight="1" x14ac:dyDescent="0.3">
      <c r="A976" s="530" t="str">
        <f t="shared" si="38"/>
        <v>Gwynedd.2020.Employment.Staying Visitor</v>
      </c>
      <c r="B976" s="530" t="s">
        <v>219</v>
      </c>
      <c r="C976" s="530" t="str">
        <f t="shared" si="39"/>
        <v>2020.Employment.Staying Visitor</v>
      </c>
      <c r="D976" s="530" t="s">
        <v>240</v>
      </c>
      <c r="E976" s="530" t="s">
        <v>20</v>
      </c>
      <c r="F976" s="530" t="s">
        <v>140</v>
      </c>
      <c r="G976" s="530" t="s">
        <v>140</v>
      </c>
      <c r="H976" s="530">
        <f>SUM(SUMIFS(H:H,$D:$D,$D976,$E:$E,$E976,$F:$F,{"Serviced Accommodation","Non-Serviced Accommodation","SFR"}))</f>
        <v>7424.7730774771817</v>
      </c>
      <c r="I976" s="530">
        <f>SUM(SUMIFS(I:I,$D:$D,$D976,$E:$E,$E976,$F:$F,{"Serviced Accommodation","Non-Serviced Accommodation","SFR"}))</f>
        <v>7723.5760633279842</v>
      </c>
      <c r="J976" s="530">
        <f>SUM(SUMIFS(J:J,$D:$D,$D976,$E:$E,$E976,$F:$F,{"Serviced Accommodation","Non-Serviced Accommodation","SFR"}))</f>
        <v>9767.9364086193054</v>
      </c>
      <c r="K976" s="530">
        <f>SUM(SUMIFS(K:K,$D:$D,$D976,$E:$E,$E976,$F:$F,{"Serviced Accommodation","Non-Serviced Accommodation","SFR"}))</f>
        <v>0</v>
      </c>
      <c r="L976" s="530">
        <f>SUM(SUMIFS(L:L,$D:$D,$D976,$E:$E,$E976,$F:$F,{"Serviced Accommodation","Non-Serviced Accommodation","SFR"}))</f>
        <v>0</v>
      </c>
      <c r="M976" s="530">
        <f>SUM(SUMIFS(M:M,$D:$D,$D976,$E:$E,$E976,$F:$F,{"Serviced Accommodation","Non-Serviced Accommodation","SFR"}))</f>
        <v>0</v>
      </c>
      <c r="N976" s="530">
        <f>SUM(SUMIFS(N:N,$D:$D,$D976,$E:$E,$E976,$F:$F,{"Serviced Accommodation","Non-Serviced Accommodation","SFR"}))</f>
        <v>6230.8624160390118</v>
      </c>
      <c r="O976" s="530">
        <f>SUM(SUMIFS(O:O,$D:$D,$D976,$E:$E,$E976,$F:$F,{"Serviced Accommodation","Non-Serviced Accommodation","SFR"}))</f>
        <v>17008.541957042544</v>
      </c>
      <c r="P976" s="530">
        <f>SUM(SUMIFS(P:P,$D:$D,$D976,$E:$E,$E976,$F:$F,{"Serviced Accommodation","Non-Serviced Accommodation","SFR"}))</f>
        <v>15160.283497071714</v>
      </c>
      <c r="Q976" s="530">
        <f>SUM(SUMIFS(Q:Q,$D:$D,$D976,$E:$E,$E976,$F:$F,{"Serviced Accommodation","Non-Serviced Accommodation","SFR"}))</f>
        <v>9172.3076925034511</v>
      </c>
      <c r="R976" s="530">
        <f>SUM(SUMIFS(R:R,$D:$D,$D976,$E:$E,$E976,$F:$F,{"Serviced Accommodation","Non-Serviced Accommodation","SFR"}))</f>
        <v>4154.4704581859978</v>
      </c>
      <c r="S976" s="530">
        <f>SUM(SUMIFS(S:S,$D:$D,$D976,$E:$E,$E976,$F:$F,{"Serviced Accommodation","Non-Serviced Accommodation","SFR"}))</f>
        <v>3435.1527653145768</v>
      </c>
      <c r="T976" s="530">
        <f>SUM(SUMIFS(T:T,$D:$D,$D976,$E:$E,$E976,$F:$F,{"Serviced Accommodation","Non-Serviced Accommodation","SFR"}))</f>
        <v>6673.1586946318139</v>
      </c>
      <c r="U976" s="530" t="s">
        <v>59</v>
      </c>
    </row>
    <row r="977" spans="1:21" ht="12.75" customHeight="1" x14ac:dyDescent="0.3">
      <c r="A977" s="530" t="str">
        <f t="shared" si="38"/>
        <v>Gwynedd.2020.Visitor Days.Staying Visitor</v>
      </c>
      <c r="B977" s="530" t="s">
        <v>219</v>
      </c>
      <c r="C977" s="530" t="str">
        <f t="shared" si="39"/>
        <v>2020.Visitor Days.Staying Visitor</v>
      </c>
      <c r="D977" s="530" t="s">
        <v>240</v>
      </c>
      <c r="E977" s="530" t="s">
        <v>171</v>
      </c>
      <c r="F977" s="530" t="s">
        <v>140</v>
      </c>
      <c r="G977" s="530" t="s">
        <v>140</v>
      </c>
      <c r="H977" s="530">
        <f>SUM(SUMIFS(H:H,$D:$D,$D977,$E:$E,$E977,$F:$F,{"Serviced Accommodation","Non-Serviced Accommodation","SFR"}))</f>
        <v>547.08883872736988</v>
      </c>
      <c r="I977" s="530">
        <f>SUM(SUMIFS(I:I,$D:$D,$D977,$E:$E,$E977,$F:$F,{"Serviced Accommodation","Non-Serviced Accommodation","SFR"}))</f>
        <v>589.13425144259293</v>
      </c>
      <c r="J977" s="530">
        <f>SUM(SUMIFS(J:J,$D:$D,$D977,$E:$E,$E977,$F:$F,{"Serviced Accommodation","Non-Serviced Accommodation","SFR"}))</f>
        <v>1177.010513406218</v>
      </c>
      <c r="K977" s="530">
        <f>SUM(SUMIFS(K:K,$D:$D,$D977,$E:$E,$E977,$F:$F,{"Serviced Accommodation","Non-Serviced Accommodation","SFR"}))</f>
        <v>0</v>
      </c>
      <c r="L977" s="530">
        <f>SUM(SUMIFS(L:L,$D:$D,$D977,$E:$E,$E977,$F:$F,{"Serviced Accommodation","Non-Serviced Accommodation","SFR"}))</f>
        <v>0</v>
      </c>
      <c r="M977" s="530">
        <f>SUM(SUMIFS(M:M,$D:$D,$D977,$E:$E,$E977,$F:$F,{"Serviced Accommodation","Non-Serviced Accommodation","SFR"}))</f>
        <v>0</v>
      </c>
      <c r="N977" s="530">
        <f>SUM(SUMIFS(N:N,$D:$D,$D977,$E:$E,$E977,$F:$F,{"Serviced Accommodation","Non-Serviced Accommodation","SFR"}))</f>
        <v>596.21458895615876</v>
      </c>
      <c r="O977" s="530">
        <f>SUM(SUMIFS(O:O,$D:$D,$D977,$E:$E,$E977,$F:$F,{"Serviced Accommodation","Non-Serviced Accommodation","SFR"}))</f>
        <v>2018.2443068730449</v>
      </c>
      <c r="P977" s="530">
        <f>SUM(SUMIFS(P:P,$D:$D,$D977,$E:$E,$E977,$F:$F,{"Serviced Accommodation","Non-Serviced Accommodation","SFR"}))</f>
        <v>1779.7430474463108</v>
      </c>
      <c r="Q977" s="530">
        <f>SUM(SUMIFS(Q:Q,$D:$D,$D977,$E:$E,$E977,$F:$F,{"Serviced Accommodation","Non-Serviced Accommodation","SFR"}))</f>
        <v>843.60132655697544</v>
      </c>
      <c r="R977" s="530">
        <f>SUM(SUMIFS(R:R,$D:$D,$D977,$E:$E,$E977,$F:$F,{"Serviced Accommodation","Non-Serviced Accommodation","SFR"}))</f>
        <v>187.73385721071546</v>
      </c>
      <c r="S977" s="530">
        <f>SUM(SUMIFS(S:S,$D:$D,$D977,$E:$E,$E977,$F:$F,{"Serviced Accommodation","Non-Serviced Accommodation","SFR"}))</f>
        <v>92.294885290142958</v>
      </c>
      <c r="T977" s="530">
        <f>SUM(SUMIFS(T:T,$D:$D,$D977,$E:$E,$E977,$F:$F,{"Serviced Accommodation","Non-Serviced Accommodation","SFR"}))</f>
        <v>7831.0656159095279</v>
      </c>
      <c r="U977" s="530" t="s">
        <v>61</v>
      </c>
    </row>
    <row r="978" spans="1:21" ht="12.75" customHeight="1" x14ac:dyDescent="0.3">
      <c r="A978" s="530" t="str">
        <f t="shared" si="38"/>
        <v>Gwynedd.2020.Visitor Numbers.Staying Visitor</v>
      </c>
      <c r="B978" s="530" t="s">
        <v>219</v>
      </c>
      <c r="C978" s="530" t="str">
        <f t="shared" si="39"/>
        <v>2020.Visitor Numbers.Staying Visitor</v>
      </c>
      <c r="D978" s="530" t="s">
        <v>240</v>
      </c>
      <c r="E978" s="530" t="s">
        <v>172</v>
      </c>
      <c r="F978" s="530" t="s">
        <v>140</v>
      </c>
      <c r="G978" s="530" t="s">
        <v>140</v>
      </c>
      <c r="H978" s="530">
        <f>SUM(SUMIFS(H:H,$D:$D,$D978,$E:$E,$E978,$F:$F,{"Serviced Accommodation","Non-Serviced Accommodation","SFR"}))</f>
        <v>182.56644083470798</v>
      </c>
      <c r="I978" s="530">
        <f>SUM(SUMIFS(I:I,$D:$D,$D978,$E:$E,$E978,$F:$F,{"Serviced Accommodation","Non-Serviced Accommodation","SFR"}))</f>
        <v>171.4277551221457</v>
      </c>
      <c r="J978" s="530">
        <f>SUM(SUMIFS(J:J,$D:$D,$D978,$E:$E,$E978,$F:$F,{"Serviced Accommodation","Non-Serviced Accommodation","SFR"}))</f>
        <v>263.78072332030553</v>
      </c>
      <c r="K978" s="530">
        <f>SUM(SUMIFS(K:K,$D:$D,$D978,$E:$E,$E978,$F:$F,{"Serviced Accommodation","Non-Serviced Accommodation","SFR"}))</f>
        <v>0</v>
      </c>
      <c r="L978" s="530">
        <f>SUM(SUMIFS(L:L,$D:$D,$D978,$E:$E,$E978,$F:$F,{"Serviced Accommodation","Non-Serviced Accommodation","SFR"}))</f>
        <v>0</v>
      </c>
      <c r="M978" s="530">
        <f>SUM(SUMIFS(M:M,$D:$D,$D978,$E:$E,$E978,$F:$F,{"Serviced Accommodation","Non-Serviced Accommodation","SFR"}))</f>
        <v>0</v>
      </c>
      <c r="N978" s="530">
        <f>SUM(SUMIFS(N:N,$D:$D,$D978,$E:$E,$E978,$F:$F,{"Serviced Accommodation","Non-Serviced Accommodation","SFR"}))</f>
        <v>96.87987262494282</v>
      </c>
      <c r="O978" s="530">
        <f>SUM(SUMIFS(O:O,$D:$D,$D978,$E:$E,$E978,$F:$F,{"Serviced Accommodation","Non-Serviced Accommodation","SFR"}))</f>
        <v>318.42060240693655</v>
      </c>
      <c r="P978" s="530">
        <f>SUM(SUMIFS(P:P,$D:$D,$D978,$E:$E,$E978,$F:$F,{"Serviced Accommodation","Non-Serviced Accommodation","SFR"}))</f>
        <v>309.00392539871888</v>
      </c>
      <c r="Q978" s="530">
        <f>SUM(SUMIFS(Q:Q,$D:$D,$D978,$E:$E,$E978,$F:$F,{"Serviced Accommodation","Non-Serviced Accommodation","SFR"}))</f>
        <v>145.93003106641126</v>
      </c>
      <c r="R978" s="530">
        <f>SUM(SUMIFS(R:R,$D:$D,$D978,$E:$E,$E978,$F:$F,{"Serviced Accommodation","Non-Serviced Accommodation","SFR"}))</f>
        <v>47.708602864170494</v>
      </c>
      <c r="S978" s="530">
        <f>SUM(SUMIFS(S:S,$D:$D,$D978,$E:$E,$E978,$F:$F,{"Serviced Accommodation","Non-Serviced Accommodation","SFR"}))</f>
        <v>18.649287366488135</v>
      </c>
      <c r="T978" s="530">
        <f>SUM(SUMIFS(T:T,$D:$D,$D978,$E:$E,$E978,$F:$F,{"Serviced Accommodation","Non-Serviced Accommodation","SFR"}))</f>
        <v>1554.3672410048273</v>
      </c>
      <c r="U978" s="530" t="s">
        <v>61</v>
      </c>
    </row>
    <row r="979" spans="1:21" ht="12.75" customHeight="1" x14ac:dyDescent="0.3">
      <c r="A979" s="530" t="str">
        <f t="shared" si="38"/>
        <v>Gwynedd.2020.Vehicle Days.Staying Visitor</v>
      </c>
      <c r="B979" s="530" t="s">
        <v>219</v>
      </c>
      <c r="C979" s="530" t="str">
        <f t="shared" si="39"/>
        <v>2020.Vehicle Days.Staying Visitor</v>
      </c>
      <c r="D979" s="530" t="s">
        <v>240</v>
      </c>
      <c r="E979" s="530" t="s">
        <v>21</v>
      </c>
      <c r="F979" s="530" t="s">
        <v>140</v>
      </c>
      <c r="G979" s="530" t="s">
        <v>140</v>
      </c>
      <c r="H979" s="530">
        <f>SUM(SUMIFS(H:H,$D:$D,$D979,$E:$E,$E979,$F:$F,{"Serviced Accommodation","Non-Serviced Accommodation","SFR"}))</f>
        <v>145.60233826573958</v>
      </c>
      <c r="I979" s="530">
        <f>SUM(SUMIFS(I:I,$D:$D,$D979,$E:$E,$E979,$F:$F,{"Serviced Accommodation","Non-Serviced Accommodation","SFR"}))</f>
        <v>179.99217828799195</v>
      </c>
      <c r="J979" s="530">
        <f>SUM(SUMIFS(J:J,$D:$D,$D979,$E:$E,$E979,$F:$F,{"Serviced Accommodation","Non-Serviced Accommodation","SFR"}))</f>
        <v>336.36373510975056</v>
      </c>
      <c r="K979" s="530">
        <f>SUM(SUMIFS(K:K,$D:$D,$D979,$E:$E,$E979,$F:$F,{"Serviced Accommodation","Non-Serviced Accommodation","SFR"}))</f>
        <v>0</v>
      </c>
      <c r="L979" s="530">
        <f>SUM(SUMIFS(L:L,$D:$D,$D979,$E:$E,$E979,$F:$F,{"Serviced Accommodation","Non-Serviced Accommodation","SFR"}))</f>
        <v>0</v>
      </c>
      <c r="M979" s="530">
        <f>SUM(SUMIFS(M:M,$D:$D,$D979,$E:$E,$E979,$F:$F,{"Serviced Accommodation","Non-Serviced Accommodation","SFR"}))</f>
        <v>0</v>
      </c>
      <c r="N979" s="530">
        <f>SUM(SUMIFS(N:N,$D:$D,$D979,$E:$E,$E979,$F:$F,{"Serviced Accommodation","Non-Serviced Accommodation","SFR"}))</f>
        <v>144.95011135584102</v>
      </c>
      <c r="O979" s="530">
        <f>SUM(SUMIFS(O:O,$D:$D,$D979,$E:$E,$E979,$F:$F,{"Serviced Accommodation","Non-Serviced Accommodation","SFR"}))</f>
        <v>501.88434460726222</v>
      </c>
      <c r="P979" s="530">
        <f>SUM(SUMIFS(P:P,$D:$D,$D979,$E:$E,$E979,$F:$F,{"Serviced Accommodation","Non-Serviced Accommodation","SFR"}))</f>
        <v>476.45241763461081</v>
      </c>
      <c r="Q979" s="530">
        <f>SUM(SUMIFS(Q:Q,$D:$D,$D979,$E:$E,$E979,$F:$F,{"Serviced Accommodation","Non-Serviced Accommodation","SFR"}))</f>
        <v>214.44917020448861</v>
      </c>
      <c r="R979" s="530">
        <f>SUM(SUMIFS(R:R,$D:$D,$D979,$E:$E,$E979,$F:$F,{"Serviced Accommodation","Non-Serviced Accommodation","SFR"}))</f>
        <v>54.237133525037677</v>
      </c>
      <c r="S979" s="530">
        <f>SUM(SUMIFS(S:S,$D:$D,$D979,$E:$E,$E979,$F:$F,{"Serviced Accommodation","Non-Serviced Accommodation","SFR"}))</f>
        <v>21.958351041255902</v>
      </c>
      <c r="T979" s="530">
        <f>SUM(SUMIFS(T:T,$D:$D,$D979,$E:$E,$E979,$F:$F,{"Serviced Accommodation","Non-Serviced Accommodation","SFR"}))</f>
        <v>2075.8897800319783</v>
      </c>
      <c r="U979" s="530" t="s">
        <v>61</v>
      </c>
    </row>
    <row r="980" spans="1:21" ht="12.75" customHeight="1" x14ac:dyDescent="0.3">
      <c r="A980" s="530" t="str">
        <f t="shared" si="38"/>
        <v>Gwynedd.2020.Vehicle Numbers.Staying Visitor</v>
      </c>
      <c r="B980" s="530" t="s">
        <v>219</v>
      </c>
      <c r="C980" s="530" t="str">
        <f t="shared" si="39"/>
        <v>2020.Vehicle Numbers.Staying Visitor</v>
      </c>
      <c r="D980" s="530" t="s">
        <v>240</v>
      </c>
      <c r="E980" s="530" t="s">
        <v>22</v>
      </c>
      <c r="F980" s="530" t="s">
        <v>140</v>
      </c>
      <c r="G980" s="530" t="s">
        <v>140</v>
      </c>
      <c r="H980" s="530">
        <f>SUM(SUMIFS(H:H,$D:$D,$D980,$E:$E,$E980,$F:$F,{"Serviced Accommodation","Non-Serviced Accommodation","SFR"}))</f>
        <v>48.706463690298172</v>
      </c>
      <c r="I980" s="530">
        <f>SUM(SUMIFS(I:I,$D:$D,$D980,$E:$E,$E980,$F:$F,{"Serviced Accommodation","Non-Serviced Accommodation","SFR"}))</f>
        <v>53.104180832181768</v>
      </c>
      <c r="J980" s="530">
        <f>SUM(SUMIFS(J:J,$D:$D,$D980,$E:$E,$E980,$F:$F,{"Serviced Accommodation","Non-Serviced Accommodation","SFR"}))</f>
        <v>76.165534962730987</v>
      </c>
      <c r="K980" s="530">
        <f>SUM(SUMIFS(K:K,$D:$D,$D980,$E:$E,$E980,$F:$F,{"Serviced Accommodation","Non-Serviced Accommodation","SFR"}))</f>
        <v>0</v>
      </c>
      <c r="L980" s="530">
        <f>SUM(SUMIFS(L:L,$D:$D,$D980,$E:$E,$E980,$F:$F,{"Serviced Accommodation","Non-Serviced Accommodation","SFR"}))</f>
        <v>0</v>
      </c>
      <c r="M980" s="530">
        <f>SUM(SUMIFS(M:M,$D:$D,$D980,$E:$E,$E980,$F:$F,{"Serviced Accommodation","Non-Serviced Accommodation","SFR"}))</f>
        <v>0</v>
      </c>
      <c r="N980" s="530">
        <f>SUM(SUMIFS(N:N,$D:$D,$D980,$E:$E,$E980,$F:$F,{"Serviced Accommodation","Non-Serviced Accommodation","SFR"}))</f>
        <v>23.604604841086651</v>
      </c>
      <c r="O980" s="530">
        <f>SUM(SUMIFS(O:O,$D:$D,$D980,$E:$E,$E980,$F:$F,{"Serviced Accommodation","Non-Serviced Accommodation","SFR"}))</f>
        <v>79.23095926405496</v>
      </c>
      <c r="P980" s="530">
        <f>SUM(SUMIFS(P:P,$D:$D,$D980,$E:$E,$E980,$F:$F,{"Serviced Accommodation","Non-Serviced Accommodation","SFR"}))</f>
        <v>83.114558627154494</v>
      </c>
      <c r="Q980" s="530">
        <f>SUM(SUMIFS(Q:Q,$D:$D,$D980,$E:$E,$E980,$F:$F,{"Serviced Accommodation","Non-Serviced Accommodation","SFR"}))</f>
        <v>37.553612624468556</v>
      </c>
      <c r="R980" s="530">
        <f>SUM(SUMIFS(R:R,$D:$D,$D980,$E:$E,$E980,$F:$F,{"Serviced Accommodation","Non-Serviced Accommodation","SFR"}))</f>
        <v>13.789872929356271</v>
      </c>
      <c r="S980" s="530">
        <f>SUM(SUMIFS(S:S,$D:$D,$D980,$E:$E,$E980,$F:$F,{"Serviced Accommodation","Non-Serviced Accommodation","SFR"}))</f>
        <v>4.4827515640726023</v>
      </c>
      <c r="T980" s="530">
        <f>SUM(SUMIFS(T:T,$D:$D,$D980,$E:$E,$E980,$F:$F,{"Serviced Accommodation","Non-Serviced Accommodation","SFR"}))</f>
        <v>419.75253933540444</v>
      </c>
      <c r="U980" s="530" t="s">
        <v>61</v>
      </c>
    </row>
    <row r="981" spans="1:21" ht="12.75" customHeight="1" x14ac:dyDescent="0.3">
      <c r="A981" s="530" t="str">
        <f t="shared" si="38"/>
        <v>Gwynedd.2021.Economic Impact.Staying Visitor</v>
      </c>
      <c r="B981" s="530" t="s">
        <v>219</v>
      </c>
      <c r="C981" s="530" t="str">
        <f t="shared" si="39"/>
        <v>2021.Economic Impact.Staying Visitor</v>
      </c>
      <c r="D981" s="530" t="s">
        <v>241</v>
      </c>
      <c r="E981" s="530" t="s">
        <v>17</v>
      </c>
      <c r="F981" s="530" t="s">
        <v>140</v>
      </c>
      <c r="G981" s="530" t="s">
        <v>140</v>
      </c>
      <c r="H981" s="530">
        <f>SUM(SUMIFS(H:H,$D:$D,$D981,$E:$E,$E981,$F:$F,{"Serviced Accommodation","Non-Serviced Accommodation","SFR"}))</f>
        <v>0</v>
      </c>
      <c r="I981" s="530">
        <f>SUM(SUMIFS(I:I,$D:$D,$D981,$E:$E,$E981,$F:$F,{"Serviced Accommodation","Non-Serviced Accommodation","SFR"}))</f>
        <v>0</v>
      </c>
      <c r="J981" s="530">
        <f>SUM(SUMIFS(J:J,$D:$D,$D981,$E:$E,$E981,$F:$F,{"Serviced Accommodation","Non-Serviced Accommodation","SFR"}))</f>
        <v>15149.522863398201</v>
      </c>
      <c r="K981" s="530">
        <f>SUM(SUMIFS(K:K,$D:$D,$D981,$E:$E,$E981,$F:$F,{"Serviced Accommodation","Non-Serviced Accommodation","SFR"}))</f>
        <v>58841.392686771862</v>
      </c>
      <c r="L981" s="530">
        <f>SUM(SUMIFS(L:L,$D:$D,$D981,$E:$E,$E981,$F:$F,{"Serviced Accommodation","Non-Serviced Accommodation","SFR"}))</f>
        <v>76079.1427520703</v>
      </c>
      <c r="M981" s="530">
        <f>SUM(SUMIFS(M:M,$D:$D,$D981,$E:$E,$E981,$F:$F,{"Serviced Accommodation","Non-Serviced Accommodation","SFR"}))</f>
        <v>116188.07255918549</v>
      </c>
      <c r="N981" s="530">
        <f>SUM(SUMIFS(N:N,$D:$D,$D981,$E:$E,$E981,$F:$F,{"Serviced Accommodation","Non-Serviced Accommodation","SFR"}))</f>
        <v>153243.78648841716</v>
      </c>
      <c r="O981" s="530">
        <f>SUM(SUMIFS(O:O,$D:$D,$D981,$E:$E,$E981,$F:$F,{"Serviced Accommodation","Non-Serviced Accommodation","SFR"}))</f>
        <v>189426.59634755395</v>
      </c>
      <c r="P981" s="530">
        <f>SUM(SUMIFS(P:P,$D:$D,$D981,$E:$E,$E981,$F:$F,{"Serviced Accommodation","Non-Serviced Accommodation","SFR"}))</f>
        <v>166445.55222171641</v>
      </c>
      <c r="Q981" s="530">
        <f>SUM(SUMIFS(Q:Q,$D:$D,$D981,$E:$E,$E981,$F:$F,{"Serviced Accommodation","Non-Serviced Accommodation","SFR"}))</f>
        <v>140156.54561616163</v>
      </c>
      <c r="R981" s="530">
        <f>SUM(SUMIFS(R:R,$D:$D,$D981,$E:$E,$E981,$F:$F,{"Serviced Accommodation","Non-Serviced Accommodation","SFR"}))</f>
        <v>47842.032521736779</v>
      </c>
      <c r="S981" s="530">
        <f>SUM(SUMIFS(S:S,$D:$D,$D981,$E:$E,$E981,$F:$F,{"Serviced Accommodation","Non-Serviced Accommodation","SFR"}))</f>
        <v>55718.30274464687</v>
      </c>
      <c r="T981" s="530">
        <f>SUM(SUMIFS(T:T,$D:$D,$D981,$E:$E,$E981,$F:$F,{"Serviced Accommodation","Non-Serviced Accommodation","SFR"}))</f>
        <v>1019090.9468016587</v>
      </c>
      <c r="U981" s="530" t="s">
        <v>57</v>
      </c>
    </row>
    <row r="982" spans="1:21" ht="12.75" customHeight="1" x14ac:dyDescent="0.3">
      <c r="A982" s="530" t="str">
        <f t="shared" si="38"/>
        <v>Gwynedd.2021.Employment.Staying Visitor</v>
      </c>
      <c r="B982" s="530" t="s">
        <v>219</v>
      </c>
      <c r="C982" s="530" t="str">
        <f t="shared" si="39"/>
        <v>2021.Employment.Staying Visitor</v>
      </c>
      <c r="D982" s="530" t="s">
        <v>241</v>
      </c>
      <c r="E982" s="530" t="s">
        <v>20</v>
      </c>
      <c r="F982" s="530" t="s">
        <v>140</v>
      </c>
      <c r="G982" s="530" t="s">
        <v>140</v>
      </c>
      <c r="H982" s="530">
        <f>SUM(SUMIFS(H:H,$D:$D,$D982,$E:$E,$E982,$F:$F,{"Serviced Accommodation","Non-Serviced Accommodation","SFR"}))</f>
        <v>0</v>
      </c>
      <c r="I982" s="530">
        <f>SUM(SUMIFS(I:I,$D:$D,$D982,$E:$E,$E982,$F:$F,{"Serviced Accommodation","Non-Serviced Accommodation","SFR"}))</f>
        <v>0</v>
      </c>
      <c r="J982" s="530">
        <f>SUM(SUMIFS(J:J,$D:$D,$D982,$E:$E,$E982,$F:$F,{"Serviced Accommodation","Non-Serviced Accommodation","SFR"}))</f>
        <v>1954.2860163609389</v>
      </c>
      <c r="K982" s="530">
        <f>SUM(SUMIFS(K:K,$D:$D,$D982,$E:$E,$E982,$F:$F,{"Serviced Accommodation","Non-Serviced Accommodation","SFR"}))</f>
        <v>8345.6074459239535</v>
      </c>
      <c r="L982" s="530">
        <f>SUM(SUMIFS(L:L,$D:$D,$D982,$E:$E,$E982,$F:$F,{"Serviced Accommodation","Non-Serviced Accommodation","SFR"}))</f>
        <v>10185.560362904856</v>
      </c>
      <c r="M982" s="530">
        <f>SUM(SUMIFS(M:M,$D:$D,$D982,$E:$E,$E982,$F:$F,{"Serviced Accommodation","Non-Serviced Accommodation","SFR"}))</f>
        <v>14854.299885912811</v>
      </c>
      <c r="N982" s="530">
        <f>SUM(SUMIFS(N:N,$D:$D,$D982,$E:$E,$E982,$F:$F,{"Serviced Accommodation","Non-Serviced Accommodation","SFR"}))</f>
        <v>17513.351114032845</v>
      </c>
      <c r="O982" s="530">
        <f>SUM(SUMIFS(O:O,$D:$D,$D982,$E:$E,$E982,$F:$F,{"Serviced Accommodation","Non-Serviced Accommodation","SFR"}))</f>
        <v>22156.383566971665</v>
      </c>
      <c r="P982" s="530">
        <f>SUM(SUMIFS(P:P,$D:$D,$D982,$E:$E,$E982,$F:$F,{"Serviced Accommodation","Non-Serviced Accommodation","SFR"}))</f>
        <v>18542.823980763689</v>
      </c>
      <c r="Q982" s="530">
        <f>SUM(SUMIFS(Q:Q,$D:$D,$D982,$E:$E,$E982,$F:$F,{"Serviced Accommodation","Non-Serviced Accommodation","SFR"}))</f>
        <v>16559.489270496655</v>
      </c>
      <c r="R982" s="530">
        <f>SUM(SUMIFS(R:R,$D:$D,$D982,$E:$E,$E982,$F:$F,{"Serviced Accommodation","Non-Serviced Accommodation","SFR"}))</f>
        <v>8213.5259100926432</v>
      </c>
      <c r="S982" s="530">
        <f>SUM(SUMIFS(S:S,$D:$D,$D982,$E:$E,$E982,$F:$F,{"Serviced Accommodation","Non-Serviced Accommodation","SFR"}))</f>
        <v>8722.6599102639393</v>
      </c>
      <c r="T982" s="530">
        <f>SUM(SUMIFS(T:T,$D:$D,$D982,$E:$E,$E982,$F:$F,{"Serviced Accommodation","Non-Serviced Accommodation","SFR"}))</f>
        <v>10587.332288643665</v>
      </c>
      <c r="U982" s="530" t="s">
        <v>59</v>
      </c>
    </row>
    <row r="983" spans="1:21" ht="12.75" customHeight="1" x14ac:dyDescent="0.3">
      <c r="A983" s="530" t="str">
        <f t="shared" si="38"/>
        <v>Gwynedd.2021.Visitor Days.Staying Visitor</v>
      </c>
      <c r="B983" s="530" t="s">
        <v>219</v>
      </c>
      <c r="C983" s="530" t="str">
        <f t="shared" si="39"/>
        <v>2021.Visitor Days.Staying Visitor</v>
      </c>
      <c r="D983" s="530" t="s">
        <v>241</v>
      </c>
      <c r="E983" s="530" t="s">
        <v>171</v>
      </c>
      <c r="F983" s="530" t="s">
        <v>140</v>
      </c>
      <c r="G983" s="530" t="s">
        <v>140</v>
      </c>
      <c r="H983" s="530">
        <f>SUM(SUMIFS(H:H,$D:$D,$D983,$E:$E,$E983,$F:$F,{"Serviced Accommodation","Non-Serviced Accommodation","SFR"}))</f>
        <v>0</v>
      </c>
      <c r="I983" s="530">
        <f>SUM(SUMIFS(I:I,$D:$D,$D983,$E:$E,$E983,$F:$F,{"Serviced Accommodation","Non-Serviced Accommodation","SFR"}))</f>
        <v>0</v>
      </c>
      <c r="J983" s="530">
        <f>SUM(SUMIFS(J:J,$D:$D,$D983,$E:$E,$E983,$F:$F,{"Serviced Accommodation","Non-Serviced Accommodation","SFR"}))</f>
        <v>264.00408462595885</v>
      </c>
      <c r="K983" s="530">
        <f>SUM(SUMIFS(K:K,$D:$D,$D983,$E:$E,$E983,$F:$F,{"Serviced Accommodation","Non-Serviced Accommodation","SFR"}))</f>
        <v>836.54991433379666</v>
      </c>
      <c r="L983" s="530">
        <f>SUM(SUMIFS(L:L,$D:$D,$D983,$E:$E,$E983,$F:$F,{"Serviced Accommodation","Non-Serviced Accommodation","SFR"}))</f>
        <v>1069.6910694804435</v>
      </c>
      <c r="M983" s="530">
        <f>SUM(SUMIFS(M:M,$D:$D,$D983,$E:$E,$E983,$F:$F,{"Serviced Accommodation","Non-Serviced Accommodation","SFR"}))</f>
        <v>1677.8054874830882</v>
      </c>
      <c r="N983" s="530">
        <f>SUM(SUMIFS(N:N,$D:$D,$D983,$E:$E,$E983,$F:$F,{"Serviced Accommodation","Non-Serviced Accommodation","SFR"}))</f>
        <v>2091.2119413729747</v>
      </c>
      <c r="O983" s="530">
        <f>SUM(SUMIFS(O:O,$D:$D,$D983,$E:$E,$E983,$F:$F,{"Serviced Accommodation","Non-Serviced Accommodation","SFR"}))</f>
        <v>3044.1441326607201</v>
      </c>
      <c r="P983" s="530">
        <f>SUM(SUMIFS(P:P,$D:$D,$D983,$E:$E,$E983,$F:$F,{"Serviced Accommodation","Non-Serviced Accommodation","SFR"}))</f>
        <v>2575.0638329584744</v>
      </c>
      <c r="Q983" s="530">
        <f>SUM(SUMIFS(Q:Q,$D:$D,$D983,$E:$E,$E983,$F:$F,{"Serviced Accommodation","Non-Serviced Accommodation","SFR"}))</f>
        <v>2485.1806832696789</v>
      </c>
      <c r="R983" s="530">
        <f>SUM(SUMIFS(R:R,$D:$D,$D983,$E:$E,$E983,$F:$F,{"Serviced Accommodation","Non-Serviced Accommodation","SFR"}))</f>
        <v>679.88581044229966</v>
      </c>
      <c r="S983" s="530">
        <f>SUM(SUMIFS(S:S,$D:$D,$D983,$E:$E,$E983,$F:$F,{"Serviced Accommodation","Non-Serviced Accommodation","SFR"}))</f>
        <v>796.22258711206553</v>
      </c>
      <c r="T983" s="530">
        <f>SUM(SUMIFS(T:T,$D:$D,$D983,$E:$E,$E983,$F:$F,{"Serviced Accommodation","Non-Serviced Accommodation","SFR"}))</f>
        <v>15519.759543739501</v>
      </c>
      <c r="U983" s="530" t="s">
        <v>61</v>
      </c>
    </row>
    <row r="984" spans="1:21" ht="12.75" customHeight="1" x14ac:dyDescent="0.3">
      <c r="A984" s="530" t="str">
        <f t="shared" si="38"/>
        <v>Gwynedd.2021.Visitor Numbers.Staying Visitor</v>
      </c>
      <c r="B984" s="530" t="s">
        <v>219</v>
      </c>
      <c r="C984" s="530" t="str">
        <f t="shared" si="39"/>
        <v>2021.Visitor Numbers.Staying Visitor</v>
      </c>
      <c r="D984" s="530" t="s">
        <v>241</v>
      </c>
      <c r="E984" s="530" t="s">
        <v>172</v>
      </c>
      <c r="F984" s="530" t="s">
        <v>140</v>
      </c>
      <c r="G984" s="530" t="s">
        <v>140</v>
      </c>
      <c r="H984" s="530">
        <f>SUM(SUMIFS(H:H,$D:$D,$D984,$E:$E,$E984,$F:$F,{"Serviced Accommodation","Non-Serviced Accommodation","SFR"}))</f>
        <v>0</v>
      </c>
      <c r="I984" s="530">
        <f>SUM(SUMIFS(I:I,$D:$D,$D984,$E:$E,$E984,$F:$F,{"Serviced Accommodation","Non-Serviced Accommodation","SFR"}))</f>
        <v>0</v>
      </c>
      <c r="J984" s="530">
        <f>SUM(SUMIFS(J:J,$D:$D,$D984,$E:$E,$E984,$F:$F,{"Serviced Accommodation","Non-Serviced Accommodation","SFR"}))</f>
        <v>55.832825118581262</v>
      </c>
      <c r="K984" s="530">
        <f>SUM(SUMIFS(K:K,$D:$D,$D984,$E:$E,$E984,$F:$F,{"Serviced Accommodation","Non-Serviced Accommodation","SFR"}))</f>
        <v>145.97644504465055</v>
      </c>
      <c r="L984" s="530">
        <f>SUM(SUMIFS(L:L,$D:$D,$D984,$E:$E,$E984,$F:$F,{"Serviced Accommodation","Non-Serviced Accommodation","SFR"}))</f>
        <v>191.36148355685108</v>
      </c>
      <c r="M984" s="530">
        <f>SUM(SUMIFS(M:M,$D:$D,$D984,$E:$E,$E984,$F:$F,{"Serviced Accommodation","Non-Serviced Accommodation","SFR"}))</f>
        <v>315.63294514438155</v>
      </c>
      <c r="N984" s="530">
        <f>SUM(SUMIFS(N:N,$D:$D,$D984,$E:$E,$E984,$F:$F,{"Serviced Accommodation","Non-Serviced Accommodation","SFR"}))</f>
        <v>392.3855580435773</v>
      </c>
      <c r="O984" s="530">
        <f>SUM(SUMIFS(O:O,$D:$D,$D984,$E:$E,$E984,$F:$F,{"Serviced Accommodation","Non-Serviced Accommodation","SFR"}))</f>
        <v>501.31615414993405</v>
      </c>
      <c r="P984" s="530">
        <f>SUM(SUMIFS(P:P,$D:$D,$D984,$E:$E,$E984,$F:$F,{"Serviced Accommodation","Non-Serviced Accommodation","SFR"}))</f>
        <v>451.2423276512659</v>
      </c>
      <c r="Q984" s="530">
        <f>SUM(SUMIFS(Q:Q,$D:$D,$D984,$E:$E,$E984,$F:$F,{"Serviced Accommodation","Non-Serviced Accommodation","SFR"}))</f>
        <v>443.12216210519733</v>
      </c>
      <c r="R984" s="530">
        <f>SUM(SUMIFS(R:R,$D:$D,$D984,$E:$E,$E984,$F:$F,{"Serviced Accommodation","Non-Serviced Accommodation","SFR"}))</f>
        <v>201.47965950703849</v>
      </c>
      <c r="S984" s="530">
        <f>SUM(SUMIFS(S:S,$D:$D,$D984,$E:$E,$E984,$F:$F,{"Serviced Accommodation","Non-Serviced Accommodation","SFR"}))</f>
        <v>188.03724647820277</v>
      </c>
      <c r="T984" s="530">
        <f>SUM(SUMIFS(T:T,$D:$D,$D984,$E:$E,$E984,$F:$F,{"Serviced Accommodation","Non-Serviced Accommodation","SFR"}))</f>
        <v>2886.3868067996805</v>
      </c>
      <c r="U984" s="530" t="s">
        <v>61</v>
      </c>
    </row>
    <row r="985" spans="1:21" ht="12.75" customHeight="1" x14ac:dyDescent="0.3">
      <c r="A985" s="530" t="str">
        <f t="shared" si="38"/>
        <v>Gwynedd.2021.Vehicle Days.Staying Visitor</v>
      </c>
      <c r="B985" s="530" t="s">
        <v>219</v>
      </c>
      <c r="C985" s="530" t="str">
        <f t="shared" si="39"/>
        <v>2021.Vehicle Days.Staying Visitor</v>
      </c>
      <c r="D985" s="530" t="s">
        <v>241</v>
      </c>
      <c r="E985" s="530" t="s">
        <v>21</v>
      </c>
      <c r="F985" s="530" t="s">
        <v>140</v>
      </c>
      <c r="G985" s="530" t="s">
        <v>140</v>
      </c>
      <c r="H985" s="530">
        <f>SUM(SUMIFS(H:H,$D:$D,$D985,$E:$E,$E985,$F:$F,{"Serviced Accommodation","Non-Serviced Accommodation","SFR"}))</f>
        <v>0</v>
      </c>
      <c r="I985" s="530">
        <f>SUM(SUMIFS(I:I,$D:$D,$D985,$E:$E,$E985,$F:$F,{"Serviced Accommodation","Non-Serviced Accommodation","SFR"}))</f>
        <v>0</v>
      </c>
      <c r="J985" s="530">
        <f>SUM(SUMIFS(J:J,$D:$D,$D985,$E:$E,$E985,$F:$F,{"Serviced Accommodation","Non-Serviced Accommodation","SFR"}))</f>
        <v>75.42346248512014</v>
      </c>
      <c r="K985" s="530">
        <f>SUM(SUMIFS(K:K,$D:$D,$D985,$E:$E,$E985,$F:$F,{"Serviced Accommodation","Non-Serviced Accommodation","SFR"}))</f>
        <v>227.13446695124327</v>
      </c>
      <c r="L985" s="530">
        <f>SUM(SUMIFS(L:L,$D:$D,$D985,$E:$E,$E985,$F:$F,{"Serviced Accommodation","Non-Serviced Accommodation","SFR"}))</f>
        <v>314.20409469960293</v>
      </c>
      <c r="M985" s="530">
        <f>SUM(SUMIFS(M:M,$D:$D,$D985,$E:$E,$E985,$F:$F,{"Serviced Accommodation","Non-Serviced Accommodation","SFR"}))</f>
        <v>493.93562425952922</v>
      </c>
      <c r="N985" s="530">
        <f>SUM(SUMIFS(N:N,$D:$D,$D985,$E:$E,$E985,$F:$F,{"Serviced Accommodation","Non-Serviced Accommodation","SFR"}))</f>
        <v>551.06534836196715</v>
      </c>
      <c r="O985" s="530">
        <f>SUM(SUMIFS(O:O,$D:$D,$D985,$E:$E,$E985,$F:$F,{"Serviced Accommodation","Non-Serviced Accommodation","SFR"}))</f>
        <v>772.42910239448304</v>
      </c>
      <c r="P985" s="530">
        <f>SUM(SUMIFS(P:P,$D:$D,$D985,$E:$E,$E985,$F:$F,{"Serviced Accommodation","Non-Serviced Accommodation","SFR"}))</f>
        <v>698.46283517995789</v>
      </c>
      <c r="Q985" s="530">
        <f>SUM(SUMIFS(Q:Q,$D:$D,$D985,$E:$E,$E985,$F:$F,{"Serviced Accommodation","Non-Serviced Accommodation","SFR"}))</f>
        <v>667.5667411056063</v>
      </c>
      <c r="R985" s="530">
        <f>SUM(SUMIFS(R:R,$D:$D,$D985,$E:$E,$E985,$F:$F,{"Serviced Accommodation","Non-Serviced Accommodation","SFR"}))</f>
        <v>193.92742565233121</v>
      </c>
      <c r="S985" s="530">
        <f>SUM(SUMIFS(S:S,$D:$D,$D985,$E:$E,$E985,$F:$F,{"Serviced Accommodation","Non-Serviced Accommodation","SFR"}))</f>
        <v>193.79302385005425</v>
      </c>
      <c r="T985" s="530">
        <f>SUM(SUMIFS(T:T,$D:$D,$D985,$E:$E,$E985,$F:$F,{"Serviced Accommodation","Non-Serviced Accommodation","SFR"}))</f>
        <v>4187.9421249398947</v>
      </c>
      <c r="U985" s="530" t="s">
        <v>61</v>
      </c>
    </row>
    <row r="986" spans="1:21" ht="12.75" customHeight="1" x14ac:dyDescent="0.3">
      <c r="A986" s="530" t="str">
        <f t="shared" si="38"/>
        <v>Gwynedd.2021.Vehicle Numbers.Staying Visitor</v>
      </c>
      <c r="B986" s="530" t="s">
        <v>219</v>
      </c>
      <c r="C986" s="530" t="str">
        <f t="shared" si="39"/>
        <v>2021.Vehicle Numbers.Staying Visitor</v>
      </c>
      <c r="D986" s="530" t="s">
        <v>241</v>
      </c>
      <c r="E986" s="530" t="s">
        <v>22</v>
      </c>
      <c r="F986" s="530" t="s">
        <v>140</v>
      </c>
      <c r="G986" s="530" t="s">
        <v>140</v>
      </c>
      <c r="H986" s="530">
        <f>SUM(SUMIFS(H:H,$D:$D,$D986,$E:$E,$E986,$F:$F,{"Serviced Accommodation","Non-Serviced Accommodation","SFR"}))</f>
        <v>0</v>
      </c>
      <c r="I986" s="530">
        <f>SUM(SUMIFS(I:I,$D:$D,$D986,$E:$E,$E986,$F:$F,{"Serviced Accommodation","Non-Serviced Accommodation","SFR"}))</f>
        <v>0</v>
      </c>
      <c r="J986" s="530">
        <f>SUM(SUMIFS(J:J,$D:$D,$D986,$E:$E,$E986,$F:$F,{"Serviced Accommodation","Non-Serviced Accommodation","SFR"}))</f>
        <v>15.954436079987266</v>
      </c>
      <c r="K986" s="530">
        <f>SUM(SUMIFS(K:K,$D:$D,$D986,$E:$E,$E986,$F:$F,{"Serviced Accommodation","Non-Serviced Accommodation","SFR"}))</f>
        <v>39.216868641408269</v>
      </c>
      <c r="L986" s="530">
        <f>SUM(SUMIFS(L:L,$D:$D,$D986,$E:$E,$E986,$F:$F,{"Serviced Accommodation","Non-Serviced Accommodation","SFR"}))</f>
        <v>55.982624647923259</v>
      </c>
      <c r="M986" s="530">
        <f>SUM(SUMIFS(M:M,$D:$D,$D986,$E:$E,$E986,$F:$F,{"Serviced Accommodation","Non-Serviced Accommodation","SFR"}))</f>
        <v>91.850781889540855</v>
      </c>
      <c r="N986" s="530">
        <f>SUM(SUMIFS(N:N,$D:$D,$D986,$E:$E,$E986,$F:$F,{"Serviced Accommodation","Non-Serviced Accommodation","SFR"}))</f>
        <v>102.83549021906572</v>
      </c>
      <c r="O986" s="530">
        <f>SUM(SUMIFS(O:O,$D:$D,$D986,$E:$E,$E986,$F:$F,{"Serviced Accommodation","Non-Serviced Accommodation","SFR"}))</f>
        <v>127.41565749557105</v>
      </c>
      <c r="P986" s="530">
        <f>SUM(SUMIFS(P:P,$D:$D,$D986,$E:$E,$E986,$F:$F,{"Serviced Accommodation","Non-Serviced Accommodation","SFR"}))</f>
        <v>122.56659991754834</v>
      </c>
      <c r="Q986" s="530">
        <f>SUM(SUMIFS(Q:Q,$D:$D,$D986,$E:$E,$E986,$F:$F,{"Serviced Accommodation","Non-Serviced Accommodation","SFR"}))</f>
        <v>120.19002666609362</v>
      </c>
      <c r="R986" s="530">
        <f>SUM(SUMIFS(R:R,$D:$D,$D986,$E:$E,$E986,$F:$F,{"Serviced Accommodation","Non-Serviced Accommodation","SFR"}))</f>
        <v>57.608140068157766</v>
      </c>
      <c r="S986" s="530">
        <f>SUM(SUMIFS(S:S,$D:$D,$D986,$E:$E,$E986,$F:$F,{"Serviced Accommodation","Non-Serviced Accommodation","SFR"}))</f>
        <v>46.078207725698846</v>
      </c>
      <c r="T986" s="530">
        <f>SUM(SUMIFS(T:T,$D:$D,$D986,$E:$E,$E986,$F:$F,{"Serviced Accommodation","Non-Serviced Accommodation","SFR"}))</f>
        <v>779.69883335099507</v>
      </c>
      <c r="U986" s="530" t="s">
        <v>61</v>
      </c>
    </row>
    <row r="987" spans="1:21" ht="12.75" customHeight="1" x14ac:dyDescent="0.3">
      <c r="A987" s="530" t="str">
        <f t="shared" ref="A987:A992" si="40">B987&amp;"."&amp;D987&amp;"."&amp;E987&amp;"."&amp;F987</f>
        <v>Gwynedd.2022.Economic Impact.Staying Visitor</v>
      </c>
      <c r="B987" s="530" t="s">
        <v>219</v>
      </c>
      <c r="C987" s="530" t="str">
        <f t="shared" ref="C987:C992" si="41">D987&amp;"."&amp;E987&amp;"."&amp;F987</f>
        <v>2022.Economic Impact.Staying Visitor</v>
      </c>
      <c r="D987" s="530" t="s">
        <v>242</v>
      </c>
      <c r="E987" s="530" t="s">
        <v>17</v>
      </c>
      <c r="F987" s="530" t="s">
        <v>140</v>
      </c>
      <c r="G987" s="530" t="s">
        <v>140</v>
      </c>
      <c r="H987" s="530">
        <f>SUM(SUMIFS(H:H,$D:$D,$D987,$E:$E,$E987,$F:$F,{"Serviced Accommodation","Non-Serviced Accommodation","SFR"}))</f>
        <v>48314.824751115855</v>
      </c>
      <c r="I987" s="530">
        <f>SUM(SUMIFS(I:I,$D:$D,$D987,$E:$E,$E987,$F:$F,{"Serviced Accommodation","Non-Serviced Accommodation","SFR"}))</f>
        <v>55407.679478242484</v>
      </c>
      <c r="J987" s="530">
        <f>SUM(SUMIFS(J:J,$D:$D,$D987,$E:$E,$E987,$F:$F,{"Serviced Accommodation","Non-Serviced Accommodation","SFR"}))</f>
        <v>119180.09864253008</v>
      </c>
      <c r="K987" s="530">
        <f>SUM(SUMIFS(K:K,$D:$D,$D987,$E:$E,$E987,$F:$F,{"Serviced Accommodation","Non-Serviced Accommodation","SFR"}))</f>
        <v>102033.20230026703</v>
      </c>
      <c r="L987" s="530">
        <f>SUM(SUMIFS(L:L,$D:$D,$D987,$E:$E,$E987,$F:$F,{"Serviced Accommodation","Non-Serviced Accommodation","SFR"}))</f>
        <v>122432.55402839831</v>
      </c>
      <c r="M987" s="530">
        <f>SUM(SUMIFS(M:M,$D:$D,$D987,$E:$E,$E987,$F:$F,{"Serviced Accommodation","Non-Serviced Accommodation","SFR"}))</f>
        <v>130847.83056077606</v>
      </c>
      <c r="N987" s="530">
        <f>SUM(SUMIFS(N:N,$D:$D,$D987,$E:$E,$E987,$F:$F,{"Serviced Accommodation","Non-Serviced Accommodation","SFR"}))</f>
        <v>170372.09173932363</v>
      </c>
      <c r="O987" s="530">
        <f>SUM(SUMIFS(O:O,$D:$D,$D987,$E:$E,$E987,$F:$F,{"Serviced Accommodation","Non-Serviced Accommodation","SFR"}))</f>
        <v>183041.1849215026</v>
      </c>
      <c r="P987" s="530">
        <f>SUM(SUMIFS(P:P,$D:$D,$D987,$E:$E,$E987,$F:$F,{"Serviced Accommodation","Non-Serviced Accommodation","SFR"}))</f>
        <v>141986.03153654159</v>
      </c>
      <c r="Q987" s="530">
        <f>SUM(SUMIFS(Q:Q,$D:$D,$D987,$E:$E,$E987,$F:$F,{"Serviced Accommodation","Non-Serviced Accommodation","SFR"}))</f>
        <v>113807.74405962776</v>
      </c>
      <c r="R987" s="530">
        <f>SUM(SUMIFS(R:R,$D:$D,$D987,$E:$E,$E987,$F:$F,{"Serviced Accommodation","Non-Serviced Accommodation","SFR"}))</f>
        <v>68475.746661079291</v>
      </c>
      <c r="S987" s="530">
        <f>SUM(SUMIFS(S:S,$D:$D,$D987,$E:$E,$E987,$F:$F,{"Serviced Accommodation","Non-Serviced Accommodation","SFR"}))</f>
        <v>61263.139303336975</v>
      </c>
      <c r="T987" s="530">
        <f>SUM(SUMIFS(T:T,$D:$D,$D987,$E:$E,$E987,$F:$F,{"Serviced Accommodation","Non-Serviced Accommodation","SFR"}))</f>
        <v>1317162.1279827415</v>
      </c>
      <c r="U987" s="530" t="s">
        <v>57</v>
      </c>
    </row>
    <row r="988" spans="1:21" ht="12.75" customHeight="1" x14ac:dyDescent="0.3">
      <c r="A988" s="530" t="str">
        <f t="shared" si="40"/>
        <v>Gwynedd.2022.Employment.Staying Visitor</v>
      </c>
      <c r="B988" s="530" t="s">
        <v>219</v>
      </c>
      <c r="C988" s="530" t="str">
        <f t="shared" si="41"/>
        <v>2022.Employment.Staying Visitor</v>
      </c>
      <c r="D988" s="530" t="s">
        <v>242</v>
      </c>
      <c r="E988" s="530" t="s">
        <v>20</v>
      </c>
      <c r="F988" s="530" t="s">
        <v>140</v>
      </c>
      <c r="G988" s="530" t="s">
        <v>140</v>
      </c>
      <c r="H988" s="530">
        <f>SUM(SUMIFS(H:H,$D:$D,$D988,$E:$E,$E988,$F:$F,{"Serviced Accommodation","Non-Serviced Accommodation","SFR"}))</f>
        <v>8242.2841247151118</v>
      </c>
      <c r="I988" s="530">
        <f>SUM(SUMIFS(I:I,$D:$D,$D988,$E:$E,$E988,$F:$F,{"Serviced Accommodation","Non-Serviced Accommodation","SFR"}))</f>
        <v>10222.625449862508</v>
      </c>
      <c r="J988" s="530">
        <f>SUM(SUMIFS(J:J,$D:$D,$D988,$E:$E,$E988,$F:$F,{"Serviced Accommodation","Non-Serviced Accommodation","SFR"}))</f>
        <v>14290.42382219936</v>
      </c>
      <c r="K988" s="530">
        <f>SUM(SUMIFS(K:K,$D:$D,$D988,$E:$E,$E988,$F:$F,{"Serviced Accommodation","Non-Serviced Accommodation","SFR"}))</f>
        <v>12453.676388733847</v>
      </c>
      <c r="L988" s="530">
        <f>SUM(SUMIFS(L:L,$D:$D,$D988,$E:$E,$E988,$F:$F,{"Serviced Accommodation","Non-Serviced Accommodation","SFR"}))</f>
        <v>14017.354723718305</v>
      </c>
      <c r="M988" s="530">
        <f>SUM(SUMIFS(M:M,$D:$D,$D988,$E:$E,$E988,$F:$F,{"Serviced Accommodation","Non-Serviced Accommodation","SFR"}))</f>
        <v>14678.551142066224</v>
      </c>
      <c r="N988" s="530">
        <f>SUM(SUMIFS(N:N,$D:$D,$D988,$E:$E,$E988,$F:$F,{"Serviced Accommodation","Non-Serviced Accommodation","SFR"}))</f>
        <v>16425.436468536809</v>
      </c>
      <c r="O988" s="530">
        <f>SUM(SUMIFS(O:O,$D:$D,$D988,$E:$E,$E988,$F:$F,{"Serviced Accommodation","Non-Serviced Accommodation","SFR"}))</f>
        <v>17355.405024150281</v>
      </c>
      <c r="P988" s="530">
        <f>SUM(SUMIFS(P:P,$D:$D,$D988,$E:$E,$E988,$F:$F,{"Serviced Accommodation","Non-Serviced Accommodation","SFR"}))</f>
        <v>13945.381942416934</v>
      </c>
      <c r="Q988" s="530">
        <f>SUM(SUMIFS(Q:Q,$D:$D,$D988,$E:$E,$E988,$F:$F,{"Serviced Accommodation","Non-Serviced Accommodation","SFR"}))</f>
        <v>13298.644754474097</v>
      </c>
      <c r="R988" s="530">
        <f>SUM(SUMIFS(R:R,$D:$D,$D988,$E:$E,$E988,$F:$F,{"Serviced Accommodation","Non-Serviced Accommodation","SFR"}))</f>
        <v>9273.91350166749</v>
      </c>
      <c r="S988" s="530">
        <f>SUM(SUMIFS(S:S,$D:$D,$D988,$E:$E,$E988,$F:$F,{"Serviced Accommodation","Non-Serviced Accommodation","SFR"}))</f>
        <v>8637.8182093730447</v>
      </c>
      <c r="T988" s="530">
        <f>SUM(SUMIFS(T:T,$D:$D,$D988,$E:$E,$E988,$F:$F,{"Serviced Accommodation","Non-Serviced Accommodation","SFR"}))</f>
        <v>12736.792962659501</v>
      </c>
      <c r="U988" s="530" t="s">
        <v>59</v>
      </c>
    </row>
    <row r="989" spans="1:21" ht="12.75" customHeight="1" x14ac:dyDescent="0.3">
      <c r="A989" s="530" t="str">
        <f t="shared" si="40"/>
        <v>Gwynedd.2022.Visitor Days.Staying Visitor</v>
      </c>
      <c r="B989" s="530" t="s">
        <v>219</v>
      </c>
      <c r="C989" s="530" t="str">
        <f t="shared" si="41"/>
        <v>2022.Visitor Days.Staying Visitor</v>
      </c>
      <c r="D989" s="530" t="s">
        <v>242</v>
      </c>
      <c r="E989" s="530" t="s">
        <v>171</v>
      </c>
      <c r="F989" s="530" t="s">
        <v>140</v>
      </c>
      <c r="G989" s="530" t="s">
        <v>140</v>
      </c>
      <c r="H989" s="530">
        <f>SUM(SUMIFS(H:H,$D:$D,$D989,$E:$E,$E989,$F:$F,{"Serviced Accommodation","Non-Serviced Accommodation","SFR"}))</f>
        <v>765.19983005592348</v>
      </c>
      <c r="I989" s="530">
        <f>SUM(SUMIFS(I:I,$D:$D,$D989,$E:$E,$E989,$F:$F,{"Serviced Accommodation","Non-Serviced Accommodation","SFR"}))</f>
        <v>823.09548838712897</v>
      </c>
      <c r="J989" s="530">
        <f>SUM(SUMIFS(J:J,$D:$D,$D989,$E:$E,$E989,$F:$F,{"Serviced Accommodation","Non-Serviced Accommodation","SFR"}))</f>
        <v>1935.5613973705033</v>
      </c>
      <c r="K989" s="530">
        <f>SUM(SUMIFS(K:K,$D:$D,$D989,$E:$E,$E989,$F:$F,{"Serviced Accommodation","Non-Serviced Accommodation","SFR"}))</f>
        <v>1660.2334814033361</v>
      </c>
      <c r="L989" s="530">
        <f>SUM(SUMIFS(L:L,$D:$D,$D989,$E:$E,$E989,$F:$F,{"Serviced Accommodation","Non-Serviced Accommodation","SFR"}))</f>
        <v>2023.9149519158861</v>
      </c>
      <c r="M989" s="530">
        <f>SUM(SUMIFS(M:M,$D:$D,$D989,$E:$E,$E989,$F:$F,{"Serviced Accommodation","Non-Serviced Accommodation","SFR"}))</f>
        <v>2162.2351318555734</v>
      </c>
      <c r="N989" s="530">
        <f>SUM(SUMIFS(N:N,$D:$D,$D989,$E:$E,$E989,$F:$F,{"Serviced Accommodation","Non-Serviced Accommodation","SFR"}))</f>
        <v>2554.6850770947754</v>
      </c>
      <c r="O989" s="530">
        <f>SUM(SUMIFS(O:O,$D:$D,$D989,$E:$E,$E989,$F:$F,{"Serviced Accommodation","Non-Serviced Accommodation","SFR"}))</f>
        <v>2760.1169056376652</v>
      </c>
      <c r="P989" s="530">
        <f>SUM(SUMIFS(P:P,$D:$D,$D989,$E:$E,$E989,$F:$F,{"Serviced Accommodation","Non-Serviced Accommodation","SFR"}))</f>
        <v>2007.1753946629751</v>
      </c>
      <c r="Q989" s="530">
        <f>SUM(SUMIFS(Q:Q,$D:$D,$D989,$E:$E,$E989,$F:$F,{"Serviced Accommodation","Non-Serviced Accommodation","SFR"}))</f>
        <v>1836.2261865365531</v>
      </c>
      <c r="R989" s="530">
        <f>SUM(SUMIFS(R:R,$D:$D,$D989,$E:$E,$E989,$F:$F,{"Serviced Accommodation","Non-Serviced Accommodation","SFR"}))</f>
        <v>1007.4220461669479</v>
      </c>
      <c r="S989" s="530">
        <f>SUM(SUMIFS(S:S,$D:$D,$D989,$E:$E,$E989,$F:$F,{"Serviced Accommodation","Non-Serviced Accommodation","SFR"}))</f>
        <v>875.63102255817535</v>
      </c>
      <c r="T989" s="530">
        <f>SUM(SUMIFS(T:T,$D:$D,$D989,$E:$E,$E989,$F:$F,{"Serviced Accommodation","Non-Serviced Accommodation","SFR"}))</f>
        <v>20411.496913645446</v>
      </c>
      <c r="U989" s="530" t="s">
        <v>61</v>
      </c>
    </row>
    <row r="990" spans="1:21" ht="12.75" customHeight="1" x14ac:dyDescent="0.3">
      <c r="A990" s="530" t="str">
        <f t="shared" si="40"/>
        <v>Gwynedd.2022.Visitor Numbers.Staying Visitor</v>
      </c>
      <c r="B990" s="530" t="s">
        <v>219</v>
      </c>
      <c r="C990" s="530" t="str">
        <f t="shared" si="41"/>
        <v>2022.Visitor Numbers.Staying Visitor</v>
      </c>
      <c r="D990" s="530" t="s">
        <v>242</v>
      </c>
      <c r="E990" s="530" t="s">
        <v>172</v>
      </c>
      <c r="F990" s="530" t="s">
        <v>140</v>
      </c>
      <c r="G990" s="530" t="s">
        <v>140</v>
      </c>
      <c r="H990" s="530">
        <f>SUM(SUMIFS(H:H,$D:$D,$D990,$E:$E,$E990,$F:$F,{"Serviced Accommodation","Non-Serviced Accommodation","SFR"}))</f>
        <v>238.42074054352997</v>
      </c>
      <c r="I990" s="530">
        <f>SUM(SUMIFS(I:I,$D:$D,$D990,$E:$E,$E990,$F:$F,{"Serviced Accommodation","Non-Serviced Accommodation","SFR"}))</f>
        <v>229.02676767559109</v>
      </c>
      <c r="J990" s="530">
        <f>SUM(SUMIFS(J:J,$D:$D,$D990,$E:$E,$E990,$F:$F,{"Serviced Accommodation","Non-Serviced Accommodation","SFR"}))</f>
        <v>441.48199567386882</v>
      </c>
      <c r="K990" s="530">
        <f>SUM(SUMIFS(K:K,$D:$D,$D990,$E:$E,$E990,$F:$F,{"Serviced Accommodation","Non-Serviced Accommodation","SFR"}))</f>
        <v>327.51749554043323</v>
      </c>
      <c r="L990" s="530">
        <f>SUM(SUMIFS(L:L,$D:$D,$D990,$E:$E,$E990,$F:$F,{"Serviced Accommodation","Non-Serviced Accommodation","SFR"}))</f>
        <v>366.74852507167867</v>
      </c>
      <c r="M990" s="530">
        <f>SUM(SUMIFS(M:M,$D:$D,$D990,$E:$E,$E990,$F:$F,{"Serviced Accommodation","Non-Serviced Accommodation","SFR"}))</f>
        <v>389.40757453342542</v>
      </c>
      <c r="N990" s="530">
        <f>SUM(SUMIFS(N:N,$D:$D,$D990,$E:$E,$E990,$F:$F,{"Serviced Accommodation","Non-Serviced Accommodation","SFR"}))</f>
        <v>460.97947130826367</v>
      </c>
      <c r="O990" s="530">
        <f>SUM(SUMIFS(O:O,$D:$D,$D990,$E:$E,$E990,$F:$F,{"Serviced Accommodation","Non-Serviced Accommodation","SFR"}))</f>
        <v>465.74504881895547</v>
      </c>
      <c r="P990" s="530">
        <f>SUM(SUMIFS(P:P,$D:$D,$D990,$E:$E,$E990,$F:$F,{"Serviced Accommodation","Non-Serviced Accommodation","SFR"}))</f>
        <v>364.77630273181785</v>
      </c>
      <c r="Q990" s="530">
        <f>SUM(SUMIFS(Q:Q,$D:$D,$D990,$E:$E,$E990,$F:$F,{"Serviced Accommodation","Non-Serviced Accommodation","SFR"}))</f>
        <v>345.68056412316741</v>
      </c>
      <c r="R990" s="530">
        <f>SUM(SUMIFS(R:R,$D:$D,$D990,$E:$E,$E990,$F:$F,{"Serviced Accommodation","Non-Serviced Accommodation","SFR"}))</f>
        <v>273.83047034622865</v>
      </c>
      <c r="S990" s="530">
        <f>SUM(SUMIFS(S:S,$D:$D,$D990,$E:$E,$E990,$F:$F,{"Serviced Accommodation","Non-Serviced Accommodation","SFR"}))</f>
        <v>209.87159451678579</v>
      </c>
      <c r="T990" s="530">
        <f>SUM(SUMIFS(T:T,$D:$D,$D990,$E:$E,$E990,$F:$F,{"Serviced Accommodation","Non-Serviced Accommodation","SFR"}))</f>
        <v>4113.4865508837465</v>
      </c>
      <c r="U990" s="530" t="s">
        <v>61</v>
      </c>
    </row>
    <row r="991" spans="1:21" ht="12.75" customHeight="1" x14ac:dyDescent="0.3">
      <c r="A991" s="530" t="str">
        <f t="shared" si="40"/>
        <v>Gwynedd.2022.Vehicle Days.Staying Visitor</v>
      </c>
      <c r="B991" s="530" t="s">
        <v>219</v>
      </c>
      <c r="C991" s="530" t="str">
        <f t="shared" si="41"/>
        <v>2022.Vehicle Days.Staying Visitor</v>
      </c>
      <c r="D991" s="530" t="s">
        <v>242</v>
      </c>
      <c r="E991" s="530" t="s">
        <v>21</v>
      </c>
      <c r="F991" s="530" t="s">
        <v>140</v>
      </c>
      <c r="G991" s="530" t="s">
        <v>140</v>
      </c>
      <c r="H991" s="530">
        <f>SUM(SUMIFS(H:H,$D:$D,$D991,$E:$E,$E991,$F:$F,{"Serviced Accommodation","Non-Serviced Accommodation","SFR"}))</f>
        <v>206.59647887006031</v>
      </c>
      <c r="I991" s="530">
        <f>SUM(SUMIFS(I:I,$D:$D,$D991,$E:$E,$E991,$F:$F,{"Serviced Accommodation","Non-Serviced Accommodation","SFR"}))</f>
        <v>262.52965976958586</v>
      </c>
      <c r="J991" s="530">
        <f>SUM(SUMIFS(J:J,$D:$D,$D991,$E:$E,$E991,$F:$F,{"Serviced Accommodation","Non-Serviced Accommodation","SFR"}))</f>
        <v>548.64148218295327</v>
      </c>
      <c r="K991" s="530">
        <f>SUM(SUMIFS(K:K,$D:$D,$D991,$E:$E,$E991,$F:$F,{"Serviced Accommodation","Non-Serviced Accommodation","SFR"}))</f>
        <v>426.83104105973769</v>
      </c>
      <c r="L991" s="530">
        <f>SUM(SUMIFS(L:L,$D:$D,$D991,$E:$E,$E991,$F:$F,{"Serviced Accommodation","Non-Serviced Accommodation","SFR"}))</f>
        <v>548.85842562156733</v>
      </c>
      <c r="M991" s="530">
        <f>SUM(SUMIFS(M:M,$D:$D,$D991,$E:$E,$E991,$F:$F,{"Serviced Accommodation","Non-Serviced Accommodation","SFR"}))</f>
        <v>590.38214410832882</v>
      </c>
      <c r="N991" s="530">
        <f>SUM(SUMIFS(N:N,$D:$D,$D991,$E:$E,$E991,$F:$F,{"Serviced Accommodation","Non-Serviced Accommodation","SFR"}))</f>
        <v>652.59762231926834</v>
      </c>
      <c r="O991" s="530">
        <f>SUM(SUMIFS(O:O,$D:$D,$D991,$E:$E,$E991,$F:$F,{"Serviced Accommodation","Non-Serviced Accommodation","SFR"}))</f>
        <v>698.62628122786236</v>
      </c>
      <c r="P991" s="530">
        <f>SUM(SUMIFS(P:P,$D:$D,$D991,$E:$E,$E991,$F:$F,{"Serviced Accommodation","Non-Serviced Accommodation","SFR"}))</f>
        <v>541.64269620709638</v>
      </c>
      <c r="Q991" s="530">
        <f>SUM(SUMIFS(Q:Q,$D:$D,$D991,$E:$E,$E991,$F:$F,{"Serviced Accommodation","Non-Serviced Accommodation","SFR"}))</f>
        <v>486.19574603513996</v>
      </c>
      <c r="R991" s="530">
        <f>SUM(SUMIFS(R:R,$D:$D,$D991,$E:$E,$E991,$F:$F,{"Serviced Accommodation","Non-Serviced Accommodation","SFR"}))</f>
        <v>275.00635225229422</v>
      </c>
      <c r="S991" s="530">
        <f>SUM(SUMIFS(S:S,$D:$D,$D991,$E:$E,$E991,$F:$F,{"Serviced Accommodation","Non-Serviced Accommodation","SFR"}))</f>
        <v>212.38563000336143</v>
      </c>
      <c r="T991" s="530">
        <f>SUM(SUMIFS(T:T,$D:$D,$D991,$E:$E,$E991,$F:$F,{"Serviced Accommodation","Non-Serviced Accommodation","SFR"}))</f>
        <v>5450.293559657257</v>
      </c>
      <c r="U991" s="530" t="s">
        <v>61</v>
      </c>
    </row>
    <row r="992" spans="1:21" ht="12.75" customHeight="1" x14ac:dyDescent="0.3">
      <c r="A992" s="530" t="str">
        <f t="shared" si="40"/>
        <v>Gwynedd.2022.Vehicle Numbers.Staying Visitor</v>
      </c>
      <c r="B992" s="530" t="s">
        <v>219</v>
      </c>
      <c r="C992" s="530" t="str">
        <f t="shared" si="41"/>
        <v>2022.Vehicle Numbers.Staying Visitor</v>
      </c>
      <c r="D992" s="530" t="s">
        <v>242</v>
      </c>
      <c r="E992" s="530" t="s">
        <v>22</v>
      </c>
      <c r="F992" s="530" t="s">
        <v>140</v>
      </c>
      <c r="G992" s="530" t="s">
        <v>140</v>
      </c>
      <c r="H992" s="530">
        <f>SUM(SUMIFS(H:H,$D:$D,$D992,$E:$E,$E992,$F:$F,{"Serviced Accommodation","Non-Serviced Accommodation","SFR"}))</f>
        <v>64.514203027230778</v>
      </c>
      <c r="I992" s="530">
        <f>SUM(SUMIFS(I:I,$D:$D,$D992,$E:$E,$E992,$F:$F,{"Serviced Accommodation","Non-Serviced Accommodation","SFR"}))</f>
        <v>73.447352484748066</v>
      </c>
      <c r="J992" s="530">
        <f>SUM(SUMIFS(J:J,$D:$D,$D992,$E:$E,$E992,$F:$F,{"Serviced Accommodation","Non-Serviced Accommodation","SFR"}))</f>
        <v>127.07846771117566</v>
      </c>
      <c r="K992" s="530">
        <f>SUM(SUMIFS(K:K,$D:$D,$D992,$E:$E,$E992,$F:$F,{"Serviced Accommodation","Non-Serviced Accommodation","SFR"}))</f>
        <v>84.694487608861124</v>
      </c>
      <c r="L992" s="530">
        <f>SUM(SUMIFS(L:L,$D:$D,$D992,$E:$E,$E992,$F:$F,{"Serviced Accommodation","Non-Serviced Accommodation","SFR"}))</f>
        <v>100.77390793024257</v>
      </c>
      <c r="M992" s="530">
        <f>SUM(SUMIFS(M:M,$D:$D,$D992,$E:$E,$E992,$F:$F,{"Serviced Accommodation","Non-Serviced Accommodation","SFR"}))</f>
        <v>107.15470470737814</v>
      </c>
      <c r="N992" s="530">
        <f>SUM(SUMIFS(N:N,$D:$D,$D992,$E:$E,$E992,$F:$F,{"Serviced Accommodation","Non-Serviced Accommodation","SFR"}))</f>
        <v>118.34544502922483</v>
      </c>
      <c r="O992" s="530">
        <f>SUM(SUMIFS(O:O,$D:$D,$D992,$E:$E,$E992,$F:$F,{"Serviced Accommodation","Non-Serviced Accommodation","SFR"}))</f>
        <v>118.53222341898818</v>
      </c>
      <c r="P992" s="530">
        <f>SUM(SUMIFS(P:P,$D:$D,$D992,$E:$E,$E992,$F:$F,{"Serviced Accommodation","Non-Serviced Accommodation","SFR"}))</f>
        <v>98.820923348292098</v>
      </c>
      <c r="Q992" s="530">
        <f>SUM(SUMIFS(Q:Q,$D:$D,$D992,$E:$E,$E992,$F:$F,{"Serviced Accommodation","Non-Serviced Accommodation","SFR"}))</f>
        <v>93.276437983836843</v>
      </c>
      <c r="R992" s="530">
        <f>SUM(SUMIFS(R:R,$D:$D,$D992,$E:$E,$E992,$F:$F,{"Serviced Accommodation","Non-Serviced Accommodation","SFR"}))</f>
        <v>75.59167514791443</v>
      </c>
      <c r="S992" s="530">
        <f>SUM(SUMIFS(S:S,$D:$D,$D992,$E:$E,$E992,$F:$F,{"Serviced Accommodation","Non-Serviced Accommodation","SFR"}))</f>
        <v>51.707590570314963</v>
      </c>
      <c r="T992" s="530">
        <f>SUM(SUMIFS(T:T,$D:$D,$D992,$E:$E,$E992,$F:$F,{"Serviced Accommodation","Non-Serviced Accommodation","SFR"}))</f>
        <v>1113.9374189682078</v>
      </c>
      <c r="U992" s="530" t="s">
        <v>61</v>
      </c>
    </row>
  </sheetData>
  <sheetProtection algorithmName="SHA-512" hashValue="APq/ndn+8HRDnhYmfTpOqsEZICGsPR5cMN7YdWoZBisTYEtXrrf8FwQwTM0wx/Lp/kA1vyUEXyJge/KR+n1VDg==" saltValue="9/BfSWwJuQFJajQ7zjY8rw==" spinCount="100000" sheet="1" objects="1" scenarios="1" autoFilter="0"/>
  <autoFilter ref="A8:U992" xr:uid="{00000000-0009-0000-0000-000012000000}">
    <filterColumn colId="0">
      <customFilters>
        <customFilter val="*"/>
      </customFilters>
    </filterColumn>
  </autoFilter>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GTS01">
    <tabColor rgb="FFFF0000"/>
  </sheetPr>
  <dimension ref="A1:P70"/>
  <sheetViews>
    <sheetView showGridLines="0" showRowColHeaders="0" showZeros="0" topLeftCell="A18" zoomScale="87" zoomScaleNormal="87" workbookViewId="0">
      <selection activeCell="O59" sqref="O59"/>
    </sheetView>
  </sheetViews>
  <sheetFormatPr defaultColWidth="18.6640625" defaultRowHeight="12.9" customHeight="1" x14ac:dyDescent="0.3"/>
  <cols>
    <col min="1" max="1" width="8.88671875" style="2" customWidth="1"/>
    <col min="2" max="2" width="2.88671875" style="2" customWidth="1"/>
    <col min="3" max="3" width="14.44140625" style="2" customWidth="1"/>
    <col min="4" max="4" width="21.109375" style="2" customWidth="1"/>
    <col min="5" max="7" width="12.109375" style="2" customWidth="1"/>
    <col min="8" max="8" width="3.33203125" style="2" customWidth="1"/>
    <col min="9" max="9" width="31.33203125" style="2" customWidth="1"/>
    <col min="10" max="10" width="24.44140625" style="2" customWidth="1"/>
    <col min="11" max="11" width="14.44140625" style="2" customWidth="1"/>
    <col min="12" max="14" width="8.88671875" style="2" customWidth="1"/>
    <col min="15" max="15" width="23.44140625" style="2" customWidth="1"/>
    <col min="16" max="16" width="21.33203125" style="2" customWidth="1"/>
    <col min="17" max="16384" width="18.6640625" style="2"/>
  </cols>
  <sheetData>
    <row r="1" spans="1:16" ht="13.8" x14ac:dyDescent="0.3">
      <c r="A1" s="9" t="str">
        <f ca="1">MID(CELL("filename",A1),FIND("]",CELL("filename",A1))+1,255)</f>
        <v>GTS_SHEET</v>
      </c>
    </row>
    <row r="2" spans="1:16" ht="15.6" x14ac:dyDescent="0.3">
      <c r="C2" s="788" t="s">
        <v>80</v>
      </c>
      <c r="D2" s="788"/>
      <c r="E2" s="788"/>
      <c r="F2" s="788"/>
      <c r="G2" s="788"/>
      <c r="I2" s="792" t="s">
        <v>13</v>
      </c>
      <c r="J2" s="792"/>
      <c r="K2" s="792"/>
      <c r="L2" s="792"/>
      <c r="M2" s="792"/>
      <c r="N2" s="792"/>
      <c r="O2" s="792"/>
      <c r="P2" s="792"/>
    </row>
    <row r="3" spans="1:16" ht="13.8" x14ac:dyDescent="0.3">
      <c r="C3" s="3" t="s">
        <v>1</v>
      </c>
      <c r="D3" s="19" t="s">
        <v>0</v>
      </c>
      <c r="E3" s="4"/>
      <c r="F3" s="4"/>
      <c r="G3" s="4"/>
      <c r="I3" s="3" t="s">
        <v>9</v>
      </c>
      <c r="J3" s="1" t="str">
        <f>UPPER(REP.product&amp;" "&amp;REP.reporttype&amp;" for "&amp;MIN(REP.yearsrange)&amp;"-"&amp;MAX(REP.yearsrange))</f>
        <v>STEAM FINAL TREND REPORT FOR 2011-2022</v>
      </c>
      <c r="K3" s="1"/>
      <c r="L3" s="1"/>
      <c r="M3" s="1"/>
      <c r="N3" s="1"/>
      <c r="O3" s="1"/>
      <c r="P3" s="1"/>
    </row>
    <row r="4" spans="1:16" ht="13.8" x14ac:dyDescent="0.3">
      <c r="C4" s="3" t="s">
        <v>2</v>
      </c>
      <c r="D4" s="19" t="s">
        <v>3</v>
      </c>
      <c r="E4" s="4"/>
      <c r="F4" s="4"/>
      <c r="G4" s="4"/>
      <c r="I4" s="3" t="s">
        <v>10</v>
      </c>
      <c r="J4" s="1" t="str">
        <f>UPPER(IF(ISBLANK(REP.authority),REP.subzone,IF(ISBLANK(REP.subzone),REP.authority,REP.authority&amp;" - "&amp;REP.subzone)))</f>
        <v>GWYNEDD COUNCIL</v>
      </c>
      <c r="K4" s="1"/>
      <c r="L4" s="1"/>
      <c r="M4" s="1"/>
      <c r="N4" s="1"/>
      <c r="O4" s="1"/>
      <c r="P4" s="1"/>
    </row>
    <row r="5" spans="1:16" ht="13.8" x14ac:dyDescent="0.3">
      <c r="C5" s="3" t="s">
        <v>4</v>
      </c>
      <c r="D5" s="19" t="str">
        <f>REP.status&amp;" Trend Report"</f>
        <v>Final Trend Report</v>
      </c>
      <c r="E5" s="4"/>
      <c r="F5" s="4"/>
      <c r="G5" s="4"/>
      <c r="I5" s="3" t="s">
        <v>11</v>
      </c>
      <c r="J5" s="1" t="str">
        <f>"This report is copyright © "&amp;REP.gts&amp;" "&amp;YEAR(REP.issued)</f>
        <v>This report is copyright © Global Tourism Solutions (UK) Ltd 2023</v>
      </c>
      <c r="K5" s="1"/>
      <c r="L5" s="1"/>
      <c r="M5" s="1"/>
      <c r="N5" s="1"/>
      <c r="O5" s="1"/>
      <c r="P5" s="1"/>
    </row>
    <row r="6" spans="1:16" ht="13.8" x14ac:dyDescent="0.3">
      <c r="C6" s="3" t="s">
        <v>5</v>
      </c>
      <c r="D6" s="689" t="s">
        <v>204</v>
      </c>
      <c r="E6" s="680"/>
      <c r="F6" s="680"/>
      <c r="G6" s="680"/>
      <c r="I6" s="3" t="s">
        <v>12</v>
      </c>
      <c r="J6" s="1" t="str">
        <f>"Report Prepared by: "&amp;REP.user&amp;". Date of Issue: "&amp;TEXT(REP.issued,"DD/MM/YY")</f>
        <v>Report Prepared by: Cathy James. Date of Issue: 14/08/23</v>
      </c>
      <c r="K6" s="1"/>
      <c r="L6" s="1"/>
      <c r="M6" s="1"/>
      <c r="N6" s="1"/>
      <c r="O6" s="1"/>
      <c r="P6" s="1"/>
    </row>
    <row r="7" spans="1:16" ht="13.8" x14ac:dyDescent="0.3">
      <c r="C7" s="3" t="s">
        <v>6</v>
      </c>
      <c r="D7" s="689"/>
      <c r="E7" s="680"/>
      <c r="F7" s="680"/>
      <c r="G7" s="680"/>
    </row>
    <row r="8" spans="1:16" ht="13.8" x14ac:dyDescent="0.3">
      <c r="C8" s="3" t="s">
        <v>7</v>
      </c>
      <c r="D8" s="682" t="s">
        <v>203</v>
      </c>
      <c r="E8" s="680"/>
      <c r="F8" s="680"/>
      <c r="G8" s="680"/>
      <c r="I8" s="3" t="s">
        <v>40</v>
      </c>
      <c r="J8" s="33">
        <f>INDEX(rep.percenthighlightchoices,rep.percenthighlightno)</f>
        <v>0.03</v>
      </c>
      <c r="K8" s="22">
        <v>1</v>
      </c>
      <c r="L8" s="57">
        <v>0.03</v>
      </c>
    </row>
    <row r="9" spans="1:16" ht="13.8" x14ac:dyDescent="0.3">
      <c r="C9" s="3" t="s">
        <v>8</v>
      </c>
      <c r="D9" s="681">
        <v>45152</v>
      </c>
      <c r="E9" s="680"/>
      <c r="F9" s="680"/>
      <c r="G9" s="680"/>
      <c r="I9" s="3" t="s">
        <v>107</v>
      </c>
      <c r="J9" s="1" t="str">
        <f>"A Fall of "&amp;TEXT(REP.percenthighlight,"0%")&amp;" or more"</f>
        <v>A Fall of 3% or more</v>
      </c>
      <c r="L9" s="57">
        <v>0.05</v>
      </c>
    </row>
    <row r="10" spans="1:16" ht="13.8" x14ac:dyDescent="0.3">
      <c r="C10" s="3" t="s">
        <v>65</v>
      </c>
      <c r="D10" s="682" t="s">
        <v>68</v>
      </c>
      <c r="E10" s="680"/>
      <c r="F10" s="680"/>
      <c r="G10" s="680"/>
      <c r="I10" s="3" t="s">
        <v>108</v>
      </c>
      <c r="J10" s="1" t="str">
        <f>"An increase of "&amp;TEXT(REP.percenthighlight,"0%")&amp;" or more"</f>
        <v>An increase of 3% or more</v>
      </c>
      <c r="L10" s="57">
        <v>0.1</v>
      </c>
    </row>
    <row r="11" spans="1:16" ht="13.8" x14ac:dyDescent="0.3">
      <c r="C11" s="3" t="s">
        <v>67</v>
      </c>
      <c r="D11" s="685" t="s">
        <v>68</v>
      </c>
      <c r="E11" s="1"/>
      <c r="F11" s="1"/>
      <c r="G11" s="1"/>
      <c r="I11" s="3" t="s">
        <v>109</v>
      </c>
      <c r="J11" s="1" t="str">
        <f>"Less than "&amp;TEXT(REP.percenthighlight,"0%")&amp;" change"</f>
        <v>Less than 3% change</v>
      </c>
      <c r="L11" s="57">
        <v>0.15</v>
      </c>
    </row>
    <row r="12" spans="1:16" ht="13.8" x14ac:dyDescent="0.3">
      <c r="C12" s="3"/>
      <c r="D12" s="685" t="s">
        <v>66</v>
      </c>
      <c r="E12" s="1"/>
      <c r="F12" s="1"/>
      <c r="G12" s="1"/>
    </row>
    <row r="13" spans="1:16" ht="13.8" x14ac:dyDescent="0.3">
      <c r="C13" s="3"/>
      <c r="D13" s="685" t="s">
        <v>170</v>
      </c>
      <c r="E13" s="1"/>
      <c r="F13" s="1"/>
      <c r="G13" s="1"/>
      <c r="J13" s="34"/>
    </row>
    <row r="14" spans="1:16" ht="13.8" x14ac:dyDescent="0.3">
      <c r="C14" s="3" t="s">
        <v>103</v>
      </c>
      <c r="D14" s="682" t="s">
        <v>205</v>
      </c>
      <c r="E14" s="680"/>
      <c r="F14" s="680"/>
      <c r="G14" s="680"/>
    </row>
    <row r="15" spans="1:16" ht="13.8" x14ac:dyDescent="0.3">
      <c r="C15" s="3" t="s">
        <v>104</v>
      </c>
      <c r="D15" s="685" t="str">
        <f>IF(REP.indexed="NO","UNINDEXED","INDEXED")</f>
        <v>INDEXED</v>
      </c>
      <c r="E15" s="1"/>
      <c r="F15" s="1"/>
      <c r="G15" s="1"/>
    </row>
    <row r="16" spans="1:16" ht="13.8" x14ac:dyDescent="0.3"/>
    <row r="17" spans="2:16" ht="15.6" x14ac:dyDescent="0.3">
      <c r="C17" s="12" t="s">
        <v>81</v>
      </c>
      <c r="D17" s="15" t="str">
        <f ca="1">"'"&amp;$A$1&amp;"'!"&amp;CELL("address",$D$19)&amp;":"&amp;CELL("address",OFFSET($D$19,COUNT(REP.yearsrange)-1,0))</f>
        <v>'GTS_SHEET'!$D$19:$D$30</v>
      </c>
      <c r="E17" s="12"/>
      <c r="F17" s="12"/>
      <c r="I17" s="15" t="s">
        <v>119</v>
      </c>
      <c r="J17" s="15" t="str">
        <f ca="1">"'"&amp;$A$1&amp;"'!"&amp;CELL("address",$J$20)&amp;":"&amp;CELL("address",OFFSET($J$20,COUNT(REP.yearsrange)-2,0))</f>
        <v>'GTS_SHEET'!$J$20:$J$30</v>
      </c>
      <c r="K17" s="15" t="str">
        <f ca="1">"'"&amp;$A$1&amp;"'!"&amp;CELL("address",$D$19)&amp;":"&amp;CELL("address",OFFSET($D$19,FOCUSYEAR.no-1,0))</f>
        <v>'GTS_SHEET'!$D$19:$D$30</v>
      </c>
      <c r="L17" s="15"/>
      <c r="M17" s="15"/>
    </row>
    <row r="18" spans="2:16" ht="36" customHeight="1" x14ac:dyDescent="0.3">
      <c r="B18" s="18" t="s">
        <v>64</v>
      </c>
      <c r="C18" s="679" t="s">
        <v>14</v>
      </c>
      <c r="D18" s="10" t="s">
        <v>16</v>
      </c>
      <c r="E18" s="11" t="s">
        <v>47</v>
      </c>
      <c r="F18" s="11" t="str">
        <f>"Indexation to Focus Year "&amp;"("&amp;FOCUSYEAR&amp;")"</f>
        <v>Indexation to Focus Year (2022)</v>
      </c>
      <c r="G18" s="11" t="str">
        <f>"Indexation to "&amp;MAX(REP.yearsrange)</f>
        <v>Indexation to 2022</v>
      </c>
      <c r="I18" s="11" t="s">
        <v>69</v>
      </c>
      <c r="J18" s="24" t="s">
        <v>70</v>
      </c>
      <c r="K18" s="790" t="s">
        <v>63</v>
      </c>
      <c r="L18" s="791"/>
      <c r="M18" s="791"/>
      <c r="O18" s="7" t="s">
        <v>84</v>
      </c>
    </row>
    <row r="19" spans="2:16" ht="13.8" x14ac:dyDescent="0.3">
      <c r="B19" s="8">
        <v>12</v>
      </c>
      <c r="C19" s="5">
        <v>1</v>
      </c>
      <c r="D19" s="683">
        <v>2011</v>
      </c>
      <c r="E19" s="786">
        <f ca="1">IF(D19="","",IFERROR(INDEX('SECTORAL ANALYSIS'!$G$10:$R$19,7,GTS_SHEET!$C19)/INDEX('SECTORAL ANALYSIS'!$G$10:$R$19,6,GTS_SHEET!$C19),0))</f>
        <v>0.2</v>
      </c>
      <c r="F19" s="6">
        <f t="array" ref="F19:F30">IFERROR(IF(REP.indexed="NO",1,INDEX(REP.indexationtable,MATCH(REP.yearsrange,'RPI13'!$A$1:$A$29,0),MATCH(FOCUSYEAR,'RPI13'!$A$1:$AC$1,0))),"")</f>
        <v>1.3874181822756195</v>
      </c>
      <c r="G19" s="6">
        <f t="array" ref="G19:G30">IFERROR(IF(REP.indexed="NO",1,INDEX(REP.indexationtable,MATCH(REP.yearsrange,'RPI13'!$A$1:$A$29,0),MATCH(MAX(REP.yearsrange),'RPI13'!$A$1:$AC$1,0))),"")</f>
        <v>1.3874181822756195</v>
      </c>
      <c r="I19" s="25" t="s">
        <v>73</v>
      </c>
      <c r="J19" s="26" t="str">
        <f>MIN(REP.yearsrange)&amp;" - "&amp;MAX(REP.yearsrange)-1</f>
        <v>2011 - 2021</v>
      </c>
      <c r="K19" s="16" t="str">
        <f>IF(J19="#N/A","",I19&amp;" "&amp;J19)</f>
        <v>the Average for 2011 - 2021</v>
      </c>
      <c r="L19" s="16"/>
      <c r="M19" s="16"/>
      <c r="O19" s="7" t="s">
        <v>85</v>
      </c>
    </row>
    <row r="20" spans="2:16" ht="13.8" x14ac:dyDescent="0.3">
      <c r="B20" s="8">
        <f>B19-1</f>
        <v>11</v>
      </c>
      <c r="C20" s="5">
        <v>2</v>
      </c>
      <c r="D20" s="683">
        <v>2012</v>
      </c>
      <c r="E20" s="786">
        <f ca="1">IF(D20="","",IFERROR(INDEX('SECTORAL ANALYSIS'!$G$10:$R$19,7,GTS_SHEET!$C20)/INDEX('SECTORAL ANALYSIS'!$G$10:$R$19,6,GTS_SHEET!$C20),0))</f>
        <v>0.20000000000000007</v>
      </c>
      <c r="F20" s="6">
        <v>1.334954471543943</v>
      </c>
      <c r="G20" s="6">
        <v>1.334954471543943</v>
      </c>
      <c r="I20" s="25"/>
      <c r="J20" s="26">
        <f t="array" ref="J20:J32">IF(OR(ISERROR(INDEX(REP.yearsrange,REP.yearnos)),ISBLANK(INDEX(REP.yearsrange,REP.yearnos)),INDEX(REP.yearsrange,REP.yearnos)=MAX(REP.yearsrange)),"",INDEX(REP.yearsrange,REP.yearnos))</f>
        <v>2011</v>
      </c>
      <c r="K20" s="16">
        <f>IF(ISNA(J20),"",J20)</f>
        <v>2011</v>
      </c>
      <c r="L20" s="16"/>
      <c r="M20" s="16"/>
      <c r="O20" s="7" t="s">
        <v>86</v>
      </c>
    </row>
    <row r="21" spans="2:16" ht="13.8" x14ac:dyDescent="0.3">
      <c r="B21" s="8">
        <f t="shared" ref="B21:B30" si="0">B20-1</f>
        <v>10</v>
      </c>
      <c r="C21" s="5">
        <v>3</v>
      </c>
      <c r="D21" s="683">
        <v>2013</v>
      </c>
      <c r="E21" s="786">
        <f ca="1">IF(D21="","",IFERROR(INDEX('SECTORAL ANALYSIS'!$G$10:$R$19,7,GTS_SHEET!$C21)/INDEX('SECTORAL ANALYSIS'!$G$10:$R$19,6,GTS_SHEET!$C21),0))</f>
        <v>0.19999999999999996</v>
      </c>
      <c r="F21" s="6">
        <v>1.2925585510688835</v>
      </c>
      <c r="G21" s="6">
        <v>1.2925585510688835</v>
      </c>
      <c r="I21" s="25"/>
      <c r="J21" s="26">
        <v>2012</v>
      </c>
      <c r="K21" s="16">
        <f t="shared" ref="K21:K32" si="1">IF(ISNA(J21),"",J21)</f>
        <v>2012</v>
      </c>
      <c r="L21" s="16"/>
      <c r="M21" s="16"/>
      <c r="O21" s="31" t="s">
        <v>87</v>
      </c>
    </row>
    <row r="22" spans="2:16" ht="13.8" x14ac:dyDescent="0.3">
      <c r="B22" s="8">
        <f t="shared" si="0"/>
        <v>9</v>
      </c>
      <c r="C22" s="5">
        <v>4</v>
      </c>
      <c r="D22" s="683">
        <v>2014</v>
      </c>
      <c r="E22" s="786">
        <f ca="1">IF(D22="","",IFERROR(INDEX('SECTORAL ANALYSIS'!$G$10:$R$19,7,GTS_SHEET!$C22)/INDEX('SECTORAL ANALYSIS'!$G$10:$R$19,6,GTS_SHEET!$C22),0))</f>
        <v>0.19999999999999993</v>
      </c>
      <c r="F22" s="6">
        <v>1.2577197149643706</v>
      </c>
      <c r="G22" s="6">
        <v>1.2577197149643706</v>
      </c>
      <c r="I22" s="25" t="str">
        <f t="array" ref="I22:I31">IF(OR(ISERROR(INDEX(REP.yearsrange,REP.yearnos)),ISBLANK(INDEX(REP.yearsrange,REP.yearnos)),INDEX(REP.yearsrange,REP.yearnos)=MAX(REP.yearsrange)),"","")</f>
        <v/>
      </c>
      <c r="J22" s="27">
        <v>2013</v>
      </c>
      <c r="K22" s="16">
        <f t="shared" si="1"/>
        <v>2013</v>
      </c>
      <c r="L22" s="16"/>
      <c r="M22" s="16"/>
      <c r="N22" s="17"/>
      <c r="O22" s="32" t="s">
        <v>88</v>
      </c>
    </row>
    <row r="23" spans="2:16" ht="13.8" x14ac:dyDescent="0.3">
      <c r="B23" s="8">
        <f t="shared" si="0"/>
        <v>8</v>
      </c>
      <c r="C23" s="5">
        <v>5</v>
      </c>
      <c r="D23" s="683">
        <v>2015</v>
      </c>
      <c r="E23" s="786">
        <f ca="1">IF(D23="","",IFERROR(INDEX('SECTORAL ANALYSIS'!$G$10:$R$19,7,GTS_SHEET!$C23)/INDEX('SECTORAL ANALYSIS'!$G$10:$R$19,6,GTS_SHEET!$C23),0))</f>
        <v>0.19999999999999996</v>
      </c>
      <c r="F23" s="6">
        <v>1.243931088488645</v>
      </c>
      <c r="G23" s="6">
        <v>1.243931088488645</v>
      </c>
      <c r="I23" s="25" t="str">
        <v/>
      </c>
      <c r="J23" s="27">
        <v>2014</v>
      </c>
      <c r="K23" s="16">
        <f t="shared" si="1"/>
        <v>2014</v>
      </c>
      <c r="L23" s="16"/>
      <c r="M23" s="16"/>
      <c r="N23" s="17"/>
    </row>
    <row r="24" spans="2:16" ht="13.8" x14ac:dyDescent="0.3">
      <c r="B24" s="8">
        <f t="shared" si="0"/>
        <v>7</v>
      </c>
      <c r="C24" s="5">
        <v>6</v>
      </c>
      <c r="D24" s="683">
        <v>2016</v>
      </c>
      <c r="E24" s="786">
        <f ca="1">IF(D24="","",IFERROR(INDEX('SECTORAL ANALYSIS'!$G$10:$R$19,7,GTS_SHEET!$C24)/INDEX('SECTORAL ANALYSIS'!$G$10:$R$19,6,GTS_SHEET!$C24),0))</f>
        <v>0.19999999999999998</v>
      </c>
      <c r="F24" s="6">
        <v>1.2275888717156105</v>
      </c>
      <c r="G24" s="6">
        <v>1.2275888717156105</v>
      </c>
      <c r="I24" s="25" t="str">
        <v/>
      </c>
      <c r="J24" s="28">
        <v>2015</v>
      </c>
      <c r="K24" s="16">
        <f t="shared" si="1"/>
        <v>2015</v>
      </c>
      <c r="L24" s="16"/>
      <c r="M24" s="16"/>
      <c r="N24" s="17"/>
      <c r="O24" s="767" t="s">
        <v>193</v>
      </c>
    </row>
    <row r="25" spans="2:16" ht="13.8" x14ac:dyDescent="0.3">
      <c r="B25" s="8">
        <f t="shared" si="0"/>
        <v>6</v>
      </c>
      <c r="C25" s="5">
        <v>7</v>
      </c>
      <c r="D25" s="683">
        <v>2017</v>
      </c>
      <c r="E25" s="786">
        <f ca="1">IF(D25="","",IFERROR(INDEX('SECTORAL ANALYSIS'!$G$10:$R$19,7,GTS_SHEET!$C25)/INDEX('SECTORAL ANALYSIS'!$G$10:$R$19,6,GTS_SHEET!$C25),0))</f>
        <v>0.19999999999999998</v>
      </c>
      <c r="F25" s="6">
        <v>1.1966101694915252</v>
      </c>
      <c r="G25" s="6">
        <v>1.1966101694915252</v>
      </c>
      <c r="I25" s="25" t="str">
        <v/>
      </c>
      <c r="J25" s="28">
        <v>2016</v>
      </c>
      <c r="K25" s="16">
        <f t="shared" si="1"/>
        <v>2016</v>
      </c>
      <c r="L25" s="16"/>
      <c r="M25" s="16"/>
      <c r="N25" s="17"/>
      <c r="O25" s="767" t="s">
        <v>194</v>
      </c>
    </row>
    <row r="26" spans="2:16" ht="13.8" x14ac:dyDescent="0.3">
      <c r="B26" s="8">
        <f t="shared" si="0"/>
        <v>5</v>
      </c>
      <c r="C26" s="5">
        <v>8</v>
      </c>
      <c r="D26" s="683">
        <v>2018</v>
      </c>
      <c r="E26" s="786">
        <f ca="1">IF(D26="","",IFERROR(INDEX('SECTORAL ANALYSIS'!$G$10:$R$19,7,GTS_SHEET!$C26)/INDEX('SECTORAL ANALYSIS'!$G$10:$R$19,6,GTS_SHEET!$C26),0))</f>
        <v>0.20000000000000004</v>
      </c>
      <c r="F26" s="6">
        <v>1.151086956521739</v>
      </c>
      <c r="G26" s="6">
        <v>1.151086956521739</v>
      </c>
      <c r="I26" s="25" t="str">
        <v/>
      </c>
      <c r="J26" s="28">
        <v>2017</v>
      </c>
      <c r="K26" s="16">
        <f t="shared" si="1"/>
        <v>2017</v>
      </c>
      <c r="L26" s="16"/>
      <c r="M26" s="16"/>
      <c r="N26" s="17"/>
      <c r="O26" s="767" t="s">
        <v>195</v>
      </c>
    </row>
    <row r="27" spans="2:16" ht="13.8" x14ac:dyDescent="0.3">
      <c r="B27" s="8">
        <f t="shared" si="0"/>
        <v>4</v>
      </c>
      <c r="C27" s="5">
        <v>9</v>
      </c>
      <c r="D27" s="683">
        <v>2019</v>
      </c>
      <c r="E27" s="786">
        <f ca="1">IF(D27="","",IFERROR(INDEX('SECTORAL ANALYSIS'!$G$10:$R$19,7,GTS_SHEET!$C27)/INDEX('SECTORAL ANALYSIS'!$G$10:$R$19,6,GTS_SHEET!$C27),0))</f>
        <v>0.2</v>
      </c>
      <c r="F27" s="6">
        <v>1.1226148409893992</v>
      </c>
      <c r="G27" s="6">
        <v>1.1226148409893992</v>
      </c>
      <c r="I27" s="25" t="str">
        <v/>
      </c>
      <c r="J27" s="28">
        <v>2018</v>
      </c>
      <c r="K27" s="16">
        <f t="shared" si="1"/>
        <v>2018</v>
      </c>
      <c r="L27" s="16"/>
      <c r="M27" s="16"/>
      <c r="N27" s="17"/>
      <c r="O27" s="767" t="s">
        <v>196</v>
      </c>
    </row>
    <row r="28" spans="2:16" ht="13.8" x14ac:dyDescent="0.3">
      <c r="B28" s="8">
        <f t="shared" si="0"/>
        <v>3</v>
      </c>
      <c r="C28" s="5">
        <v>10</v>
      </c>
      <c r="D28" s="683">
        <v>2020</v>
      </c>
      <c r="E28" s="786">
        <f ca="1">IF(D28="","",IFERROR(INDEX('SECTORAL ANALYSIS'!$G$10:$R$19,7,GTS_SHEET!$C28)/INDEX('SECTORAL ANALYSIS'!$G$10:$R$19,6,GTS_SHEET!$C28),0))</f>
        <v>0.14326997622594581</v>
      </c>
      <c r="F28" s="6">
        <v>1.093255333792154</v>
      </c>
      <c r="G28" s="6">
        <v>1.093255333792154</v>
      </c>
      <c r="I28" s="25" t="str">
        <v/>
      </c>
      <c r="J28" s="26">
        <v>2019</v>
      </c>
      <c r="K28" s="16">
        <f t="shared" si="1"/>
        <v>2019</v>
      </c>
      <c r="L28" s="16"/>
      <c r="M28" s="16"/>
      <c r="N28" s="17"/>
      <c r="O28" s="761" t="s">
        <v>0</v>
      </c>
      <c r="P28" s="761"/>
    </row>
    <row r="29" spans="2:16" ht="13.8" x14ac:dyDescent="0.3">
      <c r="B29" s="8">
        <f t="shared" si="0"/>
        <v>2</v>
      </c>
      <c r="C29" s="5">
        <v>11</v>
      </c>
      <c r="D29" s="683">
        <v>2021</v>
      </c>
      <c r="E29" s="786">
        <f ca="1">IF(D29="","",IFERROR(INDEX('SECTORAL ANALYSIS'!$G$10:$R$19,7,GTS_SHEET!$C29)/INDEX('SECTORAL ANALYSIS'!$G$10:$R$19,6,GTS_SHEET!$C29),0))</f>
        <v>0.12478728299319519</v>
      </c>
      <c r="F29" s="6">
        <v>1.0784114052953155</v>
      </c>
      <c r="G29" s="6">
        <v>1.0784114052953155</v>
      </c>
      <c r="I29" s="25" t="str">
        <v/>
      </c>
      <c r="J29" s="29">
        <v>2020</v>
      </c>
      <c r="K29" s="16">
        <f t="shared" si="1"/>
        <v>2020</v>
      </c>
      <c r="L29" s="16"/>
      <c r="M29" s="16"/>
      <c r="N29" s="17"/>
      <c r="O29" s="761" t="s">
        <v>98</v>
      </c>
      <c r="P29" s="761"/>
    </row>
    <row r="30" spans="2:16" ht="13.8" x14ac:dyDescent="0.3">
      <c r="B30" s="8">
        <f t="shared" si="0"/>
        <v>1</v>
      </c>
      <c r="C30" s="5">
        <v>12</v>
      </c>
      <c r="D30" s="683">
        <v>2022</v>
      </c>
      <c r="E30" s="786">
        <f ca="1">IF(D30="","",IFERROR(INDEX('SECTORAL ANALYSIS'!$G$10:$R$19,7,GTS_SHEET!$C30)/INDEX('SECTORAL ANALYSIS'!$G$10:$R$19,6,GTS_SHEET!$C30),0))</f>
        <v>0.19369423400746139</v>
      </c>
      <c r="F30" s="6">
        <v>1</v>
      </c>
      <c r="G30" s="6">
        <v>1</v>
      </c>
      <c r="I30" s="25" t="str">
        <v/>
      </c>
      <c r="J30" s="29">
        <v>2021</v>
      </c>
      <c r="K30" s="16">
        <f t="shared" si="1"/>
        <v>2021</v>
      </c>
      <c r="L30" s="16"/>
      <c r="M30" s="16"/>
      <c r="N30" s="17"/>
      <c r="O30" s="761" t="s">
        <v>99</v>
      </c>
      <c r="P30" s="761"/>
    </row>
    <row r="31" spans="2:16" ht="13.8" x14ac:dyDescent="0.3">
      <c r="C31" s="793" t="s">
        <v>62</v>
      </c>
      <c r="D31" s="793"/>
      <c r="E31" s="690">
        <v>1</v>
      </c>
      <c r="F31" s="686" t="str">
        <f>INDEX(REP.YN,INDEX.no)</f>
        <v>YES</v>
      </c>
      <c r="G31" s="684">
        <f>COUNT(REP.yearsrange)</f>
        <v>12</v>
      </c>
      <c r="I31" s="25" t="str">
        <v/>
      </c>
      <c r="J31" s="29" t="str">
        <v/>
      </c>
      <c r="K31" s="16" t="str">
        <f t="shared" si="1"/>
        <v/>
      </c>
      <c r="L31" s="16"/>
      <c r="M31" s="16"/>
      <c r="N31" s="17"/>
      <c r="O31" s="761" t="s">
        <v>100</v>
      </c>
      <c r="P31" s="761"/>
    </row>
    <row r="32" spans="2:16" ht="13.65" customHeight="1" x14ac:dyDescent="0.3">
      <c r="C32" s="789" t="s">
        <v>83</v>
      </c>
      <c r="D32" s="789"/>
      <c r="E32" s="789"/>
      <c r="F32" s="13" t="s">
        <v>41</v>
      </c>
      <c r="I32" s="25"/>
      <c r="J32" s="29" t="e">
        <v>#N/A</v>
      </c>
      <c r="K32" s="16" t="str">
        <f t="shared" si="1"/>
        <v/>
      </c>
      <c r="L32" s="16"/>
      <c r="M32" s="16"/>
      <c r="N32" s="17"/>
      <c r="O32" s="761" t="s">
        <v>101</v>
      </c>
      <c r="P32" s="761"/>
    </row>
    <row r="33" spans="3:16" ht="13.8" x14ac:dyDescent="0.3">
      <c r="C33" s="789"/>
      <c r="D33" s="789"/>
      <c r="E33" s="789"/>
      <c r="F33" s="14" t="s">
        <v>42</v>
      </c>
      <c r="I33" s="49" t="s">
        <v>119</v>
      </c>
      <c r="J33" s="692">
        <v>11</v>
      </c>
      <c r="K33" s="687">
        <f>COMPARISONYEAR</f>
        <v>2021</v>
      </c>
      <c r="L33" s="21"/>
      <c r="M33" s="21"/>
      <c r="N33" s="17"/>
      <c r="O33" s="761" t="s">
        <v>102</v>
      </c>
      <c r="P33" s="761"/>
    </row>
    <row r="34" spans="3:16" ht="12.9" customHeight="1" x14ac:dyDescent="0.3">
      <c r="I34" s="49" t="s">
        <v>125</v>
      </c>
      <c r="J34" s="692">
        <v>12</v>
      </c>
      <c r="K34" s="687">
        <f>FOCUSYEAR</f>
        <v>2022</v>
      </c>
      <c r="L34" s="21"/>
      <c r="M34" s="21"/>
      <c r="O34" s="761"/>
      <c r="P34" s="761"/>
    </row>
    <row r="35" spans="3:16" ht="12.9" customHeight="1" x14ac:dyDescent="0.3">
      <c r="I35" s="88" t="s">
        <v>134</v>
      </c>
      <c r="J35" s="693">
        <v>12</v>
      </c>
      <c r="K35" s="688">
        <f>CHARTYEAR</f>
        <v>2022</v>
      </c>
      <c r="L35" s="16"/>
      <c r="M35" s="16"/>
      <c r="O35" s="761" t="s">
        <v>147</v>
      </c>
      <c r="P35" s="761"/>
    </row>
    <row r="36" spans="3:16" ht="41.4" x14ac:dyDescent="0.3">
      <c r="C36" s="12" t="s">
        <v>82</v>
      </c>
      <c r="D36" s="12"/>
      <c r="E36" s="12"/>
      <c r="F36" s="12"/>
      <c r="G36" s="768">
        <v>3</v>
      </c>
      <c r="I36" s="81" t="s">
        <v>77</v>
      </c>
      <c r="J36" s="82"/>
      <c r="K36" s="83" t="s">
        <v>78</v>
      </c>
      <c r="L36" s="84"/>
      <c r="M36" s="84"/>
      <c r="O36" s="761" t="s">
        <v>148</v>
      </c>
      <c r="P36" s="761"/>
    </row>
    <row r="37" spans="3:16" ht="13.8" x14ac:dyDescent="0.3">
      <c r="C37" s="1"/>
      <c r="D37" s="1"/>
      <c r="E37" s="1"/>
      <c r="F37" s="1"/>
      <c r="O37" s="761" t="s">
        <v>174</v>
      </c>
      <c r="P37" s="761"/>
    </row>
    <row r="38" spans="3:16" ht="13.8" x14ac:dyDescent="0.3">
      <c r="C38" s="1" t="str">
        <f t="array" aca="1" ref="C38:C47" ca="1">INDIRECT("GTS_"&amp;INDEX($O$24:$O$27,$G$36))</f>
        <v>Global Tourism Solutions (UK) Ltd</v>
      </c>
      <c r="D38" s="1"/>
      <c r="E38" s="1"/>
      <c r="F38" s="1"/>
      <c r="O38" s="8"/>
    </row>
    <row r="39" spans="3:16" ht="13.8" x14ac:dyDescent="0.3">
      <c r="C39" s="1" t="str">
        <f ca="1"/>
        <v xml:space="preserve">71 Heol Gwys </v>
      </c>
      <c r="D39" s="1"/>
      <c r="E39" s="1"/>
      <c r="F39" s="1"/>
      <c r="O39" s="762" t="s">
        <v>0</v>
      </c>
      <c r="P39" s="762"/>
    </row>
    <row r="40" spans="3:16" ht="15.6" x14ac:dyDescent="0.3">
      <c r="C40" s="1" t="str">
        <f ca="1"/>
        <v xml:space="preserve">Upper Cwmtwrch </v>
      </c>
      <c r="D40" s="1"/>
      <c r="E40" s="1"/>
      <c r="F40" s="1"/>
      <c r="I40" s="15" t="s">
        <v>72</v>
      </c>
      <c r="J40" s="15"/>
      <c r="O40" s="762" t="s">
        <v>187</v>
      </c>
      <c r="P40" s="762"/>
    </row>
    <row r="41" spans="3:16" ht="13.8" x14ac:dyDescent="0.3">
      <c r="C41" s="1" t="str">
        <f ca="1"/>
        <v xml:space="preserve">Swansea </v>
      </c>
      <c r="D41" s="1"/>
      <c r="E41" s="1"/>
      <c r="F41" s="1"/>
      <c r="I41" s="23" t="s">
        <v>69</v>
      </c>
      <c r="J41" s="11" t="s">
        <v>79</v>
      </c>
      <c r="L41" s="30"/>
      <c r="M41" s="30"/>
      <c r="O41" s="762" t="s">
        <v>188</v>
      </c>
      <c r="P41" s="762"/>
    </row>
    <row r="42" spans="3:16" ht="13.8" x14ac:dyDescent="0.3">
      <c r="C42" s="1" t="str">
        <f ca="1"/>
        <v>SA9 2XH</v>
      </c>
      <c r="D42" s="1"/>
      <c r="E42" s="1"/>
      <c r="F42" s="1"/>
      <c r="I42" s="20" t="s">
        <v>54</v>
      </c>
      <c r="J42" s="1" t="s">
        <v>23</v>
      </c>
      <c r="K42" s="2">
        <v>1</v>
      </c>
      <c r="O42" s="762" t="s">
        <v>189</v>
      </c>
      <c r="P42" s="762"/>
    </row>
    <row r="43" spans="3:16" ht="13.8" x14ac:dyDescent="0.3">
      <c r="C43" s="1">
        <f ca="1"/>
        <v>0</v>
      </c>
      <c r="D43" s="1"/>
      <c r="E43" s="1"/>
      <c r="F43" s="1"/>
      <c r="I43" s="20" t="s">
        <v>43</v>
      </c>
      <c r="J43" s="1" t="s">
        <v>23</v>
      </c>
      <c r="K43" s="2">
        <v>2</v>
      </c>
      <c r="O43" s="762" t="s">
        <v>190</v>
      </c>
      <c r="P43" s="762"/>
    </row>
    <row r="44" spans="3:16" ht="13.8" x14ac:dyDescent="0.3">
      <c r="C44" s="1">
        <f ca="1"/>
        <v>0</v>
      </c>
      <c r="D44" s="1"/>
      <c r="E44" s="1"/>
      <c r="F44" s="1"/>
      <c r="I44" s="20" t="s">
        <v>48</v>
      </c>
      <c r="J44" s="1" t="s">
        <v>23</v>
      </c>
      <c r="K44" s="2">
        <v>3</v>
      </c>
      <c r="O44" s="762" t="s">
        <v>191</v>
      </c>
      <c r="P44" s="762"/>
    </row>
    <row r="45" spans="3:16" ht="13.8" x14ac:dyDescent="0.3">
      <c r="C45" s="1" t="str">
        <f ca="1"/>
        <v>Telephone: 0798 445 5388</v>
      </c>
      <c r="D45" s="1"/>
      <c r="E45" s="1"/>
      <c r="F45" s="1"/>
      <c r="I45" s="20" t="s">
        <v>18</v>
      </c>
      <c r="J45" s="1"/>
      <c r="K45" s="2">
        <v>4</v>
      </c>
      <c r="O45" s="762"/>
      <c r="P45" s="762"/>
    </row>
    <row r="46" spans="3:16" ht="13.8" x14ac:dyDescent="0.3">
      <c r="C46" s="1" t="str">
        <f ca="1"/>
        <v>Email: cathryn.j@gtsuk.co.uk</v>
      </c>
      <c r="D46" s="1"/>
      <c r="E46" s="1"/>
      <c r="F46" s="1"/>
      <c r="I46" s="20" t="s">
        <v>140</v>
      </c>
      <c r="K46" s="2">
        <v>5</v>
      </c>
      <c r="O46" s="762" t="s">
        <v>192</v>
      </c>
      <c r="P46" s="762"/>
    </row>
    <row r="47" spans="3:16" ht="13.8" x14ac:dyDescent="0.3">
      <c r="C47" s="1" t="str">
        <f ca="1"/>
        <v>Website: www.globaltourismsolutions.co.uk</v>
      </c>
      <c r="D47" s="1"/>
      <c r="E47" s="1"/>
      <c r="F47" s="1"/>
      <c r="I47" s="20" t="s">
        <v>71</v>
      </c>
      <c r="J47" s="1" t="s">
        <v>23</v>
      </c>
      <c r="K47" s="2">
        <v>6</v>
      </c>
      <c r="O47" s="762" t="s">
        <v>181</v>
      </c>
      <c r="P47" s="762"/>
    </row>
    <row r="48" spans="3:16" ht="13.8" x14ac:dyDescent="0.3">
      <c r="C48" s="1"/>
      <c r="D48" s="1"/>
      <c r="E48" s="1"/>
      <c r="F48" s="1"/>
      <c r="I48" s="80" t="s">
        <v>76</v>
      </c>
      <c r="J48" s="691">
        <v>1</v>
      </c>
      <c r="O48" s="762" t="s">
        <v>174</v>
      </c>
      <c r="P48" s="762"/>
    </row>
    <row r="49" spans="9:16" ht="13.8" x14ac:dyDescent="0.3">
      <c r="I49" s="1" t="str">
        <f>INDEX(TYPE.choices,TYPE.no)</f>
        <v>Total</v>
      </c>
      <c r="J49" s="1" t="str">
        <f>VLOOKUP(TYPE.userselected,$I$42:$J$47,2,FALSE)</f>
        <v>Accommodation</v>
      </c>
      <c r="O49" s="8"/>
    </row>
    <row r="50" spans="9:16" ht="12.9" customHeight="1" x14ac:dyDescent="0.3">
      <c r="O50" s="763" t="s">
        <v>0</v>
      </c>
      <c r="P50" s="764"/>
    </row>
    <row r="51" spans="9:16" ht="12.9" customHeight="1" x14ac:dyDescent="0.3">
      <c r="O51" s="763" t="s">
        <v>197</v>
      </c>
      <c r="P51" s="764"/>
    </row>
    <row r="52" spans="9:16" ht="12.9" customHeight="1" x14ac:dyDescent="0.3">
      <c r="O52" s="763" t="s">
        <v>198</v>
      </c>
      <c r="P52" s="764"/>
    </row>
    <row r="53" spans="9:16" ht="12.9" customHeight="1" x14ac:dyDescent="0.3">
      <c r="O53" s="763" t="s">
        <v>199</v>
      </c>
      <c r="P53" s="764"/>
    </row>
    <row r="54" spans="9:16" ht="12.9" customHeight="1" x14ac:dyDescent="0.3">
      <c r="O54" s="763" t="s">
        <v>185</v>
      </c>
      <c r="P54" s="764"/>
    </row>
    <row r="55" spans="9:16" ht="12.9" customHeight="1" x14ac:dyDescent="0.3">
      <c r="O55" s="763"/>
      <c r="P55" s="764"/>
    </row>
    <row r="56" spans="9:16" ht="12.9" customHeight="1" x14ac:dyDescent="0.3">
      <c r="O56" s="763"/>
      <c r="P56" s="764"/>
    </row>
    <row r="57" spans="9:16" ht="12.9" customHeight="1" x14ac:dyDescent="0.3">
      <c r="O57" s="763" t="s">
        <v>186</v>
      </c>
      <c r="P57" s="764"/>
    </row>
    <row r="58" spans="9:16" ht="12.9" customHeight="1" x14ac:dyDescent="0.3">
      <c r="O58" s="763" t="s">
        <v>206</v>
      </c>
      <c r="P58" s="764"/>
    </row>
    <row r="59" spans="9:16" ht="12.9" customHeight="1" x14ac:dyDescent="0.3">
      <c r="O59" s="763" t="s">
        <v>174</v>
      </c>
      <c r="P59" s="764"/>
    </row>
    <row r="60" spans="9:16" ht="12.9" customHeight="1" x14ac:dyDescent="0.3">
      <c r="O60" s="8"/>
    </row>
    <row r="61" spans="9:16" ht="12.9" customHeight="1" x14ac:dyDescent="0.3">
      <c r="O61" s="765" t="s">
        <v>0</v>
      </c>
      <c r="P61" s="766"/>
    </row>
    <row r="62" spans="9:16" ht="12.9" customHeight="1" x14ac:dyDescent="0.3">
      <c r="O62" s="765" t="s">
        <v>200</v>
      </c>
      <c r="P62" s="766"/>
    </row>
    <row r="63" spans="9:16" ht="12.9" customHeight="1" x14ac:dyDescent="0.3">
      <c r="O63" s="765" t="s">
        <v>201</v>
      </c>
      <c r="P63" s="766"/>
    </row>
    <row r="64" spans="9:16" ht="12.9" customHeight="1" x14ac:dyDescent="0.3">
      <c r="O64" s="765" t="s">
        <v>182</v>
      </c>
      <c r="P64" s="766"/>
    </row>
    <row r="65" spans="15:16" ht="12.9" customHeight="1" x14ac:dyDescent="0.3">
      <c r="O65" s="765" t="s">
        <v>202</v>
      </c>
      <c r="P65" s="766"/>
    </row>
    <row r="66" spans="15:16" ht="12.9" customHeight="1" x14ac:dyDescent="0.3">
      <c r="O66" s="765"/>
      <c r="P66" s="766"/>
    </row>
    <row r="67" spans="15:16" ht="12.9" customHeight="1" x14ac:dyDescent="0.3">
      <c r="O67" s="765"/>
      <c r="P67" s="766"/>
    </row>
    <row r="68" spans="15:16" ht="12.9" customHeight="1" x14ac:dyDescent="0.3">
      <c r="O68" s="765" t="s">
        <v>183</v>
      </c>
      <c r="P68" s="766"/>
    </row>
    <row r="69" spans="15:16" ht="12.9" customHeight="1" x14ac:dyDescent="0.3">
      <c r="O69" s="765" t="s">
        <v>184</v>
      </c>
      <c r="P69" s="766"/>
    </row>
    <row r="70" spans="15:16" ht="12.9" customHeight="1" x14ac:dyDescent="0.3">
      <c r="O70" s="765" t="s">
        <v>174</v>
      </c>
      <c r="P70" s="766"/>
    </row>
  </sheetData>
  <sheetProtection algorithmName="SHA-512" hashValue="TiuotgM40UQ3uQ5uLrDLikL/xrSfW+VEBEpN+upyBTU4ruaQ3ByUMExubF+lpiGlhrcGdzfoz9/sBZsTKvR8fw==" saltValue="JG6SDnimR46cbPmwPxBX0Q==" spinCount="100000" sheet="1" objects="1" scenarios="1"/>
  <mergeCells count="5">
    <mergeCell ref="C2:G2"/>
    <mergeCell ref="C32:E33"/>
    <mergeCell ref="K18:M18"/>
    <mergeCell ref="I2:P2"/>
    <mergeCell ref="C31:D31"/>
  </mergeCells>
  <conditionalFormatting sqref="E19:E30">
    <cfRule type="expression" dxfId="195" priority="1" stopIfTrue="1">
      <formula>AND(ISNUMBER(D19),D19=2009,E19=0.15)</formula>
    </cfRule>
    <cfRule type="expression" dxfId="194" priority="2" stopIfTrue="1">
      <formula>AND(ISNUMBER(D19),D19&gt;2010,E19=0.2)</formula>
    </cfRule>
    <cfRule type="expression" dxfId="193" priority="3" stopIfTrue="1">
      <formula>AND(ISNUMBER(D19),NOT(D19=2009),NOT(D19&gt;2010),E19=0.175)</formula>
    </cfRule>
    <cfRule type="expression" dxfId="192" priority="4" stopIfTrue="1">
      <formula>NOT(ISNUMBER(D19))</formula>
    </cfRule>
  </conditionalFormatting>
  <conditionalFormatting sqref="J24:J32">
    <cfRule type="containsErrors" dxfId="191" priority="13">
      <formula>ISERROR(J24)</formula>
    </cfRule>
    <cfRule type="containsBlanks" dxfId="190" priority="14">
      <formula>LEN(TRIM(J24))=0</formula>
    </cfRule>
  </conditionalFormatting>
  <dataValidations count="1">
    <dataValidation type="list" allowBlank="1" showInputMessage="1" showErrorMessage="1" sqref="D10" xr:uid="{00000000-0002-0000-0100-000000000000}">
      <formula1>$D$11:$D$13</formula1>
    </dataValidation>
  </dataValidations>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89121" r:id="rId4" name="List Box 1">
              <controlPr defaultSize="0" autoLine="0" autoPict="0">
                <anchor moveWithCells="1">
                  <from>
                    <xdr:col>4</xdr:col>
                    <xdr:colOff>533400</xdr:colOff>
                    <xdr:row>36</xdr:row>
                    <xdr:rowOff>114300</xdr:rowOff>
                  </from>
                  <to>
                    <xdr:col>5</xdr:col>
                    <xdr:colOff>723900</xdr:colOff>
                    <xdr:row>39</xdr:row>
                    <xdr:rowOff>175260</xdr:rowOff>
                  </to>
                </anchor>
              </controlPr>
            </control>
          </mc:Choice>
        </mc:AlternateContent>
      </controls>
    </mc:Choice>
  </mc:AlternateConten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915BC5-CAF9-48F7-ADC5-AFB2DE12BE6F}">
  <dimension ref="A1:A12"/>
  <sheetViews>
    <sheetView workbookViewId="0"/>
  </sheetViews>
  <sheetFormatPr defaultRowHeight="13.8" x14ac:dyDescent="0.3"/>
  <sheetData>
    <row r="1" spans="1:1" x14ac:dyDescent="0.3">
      <c r="A1" t="s">
        <v>207</v>
      </c>
    </row>
    <row r="2" spans="1:1" x14ac:dyDescent="0.3">
      <c r="A2" t="s">
        <v>208</v>
      </c>
    </row>
    <row r="3" spans="1:1" x14ac:dyDescent="0.3">
      <c r="A3" t="s">
        <v>209</v>
      </c>
    </row>
    <row r="4" spans="1:1" x14ac:dyDescent="0.3">
      <c r="A4" t="s">
        <v>210</v>
      </c>
    </row>
    <row r="5" spans="1:1" x14ac:dyDescent="0.3">
      <c r="A5" t="s">
        <v>211</v>
      </c>
    </row>
    <row r="6" spans="1:1" x14ac:dyDescent="0.3">
      <c r="A6" t="s">
        <v>212</v>
      </c>
    </row>
    <row r="7" spans="1:1" x14ac:dyDescent="0.3">
      <c r="A7" t="s">
        <v>213</v>
      </c>
    </row>
    <row r="8" spans="1:1" x14ac:dyDescent="0.3">
      <c r="A8" t="s">
        <v>214</v>
      </c>
    </row>
    <row r="9" spans="1:1" x14ac:dyDescent="0.3">
      <c r="A9" t="s">
        <v>215</v>
      </c>
    </row>
    <row r="10" spans="1:1" x14ac:dyDescent="0.3">
      <c r="A10" t="s">
        <v>216</v>
      </c>
    </row>
    <row r="11" spans="1:1" x14ac:dyDescent="0.3">
      <c r="A11" t="s">
        <v>217</v>
      </c>
    </row>
    <row r="12" spans="1:1" x14ac:dyDescent="0.3">
      <c r="A12" t="s">
        <v>218</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GTS03">
    <tabColor rgb="FFFFC000"/>
    <outlinePr showOutlineSymbols="0"/>
    <pageSetUpPr autoPageBreaks="0" fitToPage="1"/>
  </sheetPr>
  <dimension ref="A1:Z69"/>
  <sheetViews>
    <sheetView showGridLines="0" showRowColHeaders="0" showZeros="0" showOutlineSymbols="0" topLeftCell="A2" zoomScaleNormal="100" workbookViewId="0">
      <pane ySplit="6" topLeftCell="A8" activePane="bottomLeft" state="frozen"/>
      <selection activeCell="AC21" sqref="AC21"/>
      <selection pane="bottomLeft" activeCell="F11" sqref="F11"/>
    </sheetView>
  </sheetViews>
  <sheetFormatPr defaultColWidth="4.88671875" defaultRowHeight="16.2" customHeight="1" x14ac:dyDescent="0.3"/>
  <cols>
    <col min="1" max="3" width="4.88671875" style="111"/>
    <col min="4" max="4" width="4.88671875" style="112"/>
    <col min="5" max="5" width="19.5546875" style="111" customWidth="1"/>
    <col min="6" max="6" width="5.109375" style="111" customWidth="1"/>
    <col min="7" max="24" width="7.33203125" style="111" customWidth="1"/>
    <col min="25" max="25" width="7.109375" style="111" bestFit="1" customWidth="1"/>
    <col min="26" max="26" width="8.44140625" style="111" bestFit="1" customWidth="1"/>
    <col min="27" max="16384" width="4.88671875" style="111"/>
  </cols>
  <sheetData>
    <row r="1" spans="1:26" ht="16.2" hidden="1" customHeight="1" thickTop="1" thickBot="1" x14ac:dyDescent="0.35">
      <c r="A1" s="110" t="str">
        <f ca="1">MID(CELL("filename",A1),FIND("]",CELL("filename",A1))+1,255)</f>
        <v>PB</v>
      </c>
      <c r="E1" s="113"/>
      <c r="F1" s="114"/>
      <c r="G1" s="114"/>
      <c r="H1" s="114"/>
      <c r="I1" s="114"/>
      <c r="J1" s="114"/>
      <c r="K1" s="114"/>
      <c r="L1" s="114"/>
      <c r="M1" s="114"/>
      <c r="N1" s="114"/>
      <c r="O1" s="114"/>
      <c r="P1" s="114"/>
      <c r="Q1" s="114"/>
      <c r="R1" s="114"/>
      <c r="S1" s="114"/>
      <c r="T1" s="114"/>
      <c r="U1" s="114"/>
      <c r="V1" s="114"/>
      <c r="W1" s="114"/>
      <c r="X1" s="115"/>
    </row>
    <row r="2" spans="1:26" ht="16.2" customHeight="1" thickTop="1" x14ac:dyDescent="0.3">
      <c r="E2" s="116"/>
      <c r="F2" s="117"/>
      <c r="G2" s="117"/>
      <c r="H2" s="117"/>
      <c r="I2" s="117"/>
      <c r="J2" s="117"/>
      <c r="K2" s="117"/>
      <c r="L2" s="117"/>
      <c r="M2" s="117"/>
      <c r="N2" s="117"/>
      <c r="O2" s="117"/>
      <c r="P2" s="117"/>
      <c r="Q2" s="117"/>
      <c r="R2" s="117"/>
      <c r="S2" s="117"/>
      <c r="T2" s="117"/>
      <c r="U2" s="117"/>
      <c r="V2" s="117"/>
      <c r="W2" s="117"/>
      <c r="X2" s="118"/>
    </row>
    <row r="3" spans="1:26" ht="26.4" customHeight="1" x14ac:dyDescent="0.3">
      <c r="E3" s="119"/>
      <c r="F3" s="120"/>
      <c r="G3" s="120"/>
      <c r="H3" s="120"/>
      <c r="I3" s="120"/>
      <c r="J3" s="120"/>
      <c r="K3" s="120"/>
      <c r="L3" s="120"/>
      <c r="M3" s="120"/>
      <c r="N3" s="120"/>
      <c r="O3" s="120"/>
      <c r="P3" s="120"/>
      <c r="Q3" s="120"/>
      <c r="R3" s="120"/>
      <c r="S3" s="120"/>
      <c r="T3" s="120"/>
      <c r="U3" s="120"/>
      <c r="V3" s="120"/>
      <c r="W3" s="120"/>
      <c r="X3" s="121"/>
    </row>
    <row r="4" spans="1:26" ht="26.4" customHeight="1" x14ac:dyDescent="0.3">
      <c r="E4" s="204"/>
      <c r="F4" s="205"/>
      <c r="G4" s="205"/>
      <c r="H4" s="205"/>
      <c r="I4" s="205"/>
      <c r="J4" s="205"/>
      <c r="K4" s="205"/>
      <c r="L4" s="205"/>
      <c r="M4" s="205"/>
      <c r="N4" s="205"/>
      <c r="O4" s="205"/>
      <c r="P4" s="205"/>
      <c r="Q4" s="205"/>
      <c r="R4" s="205"/>
      <c r="S4" s="205"/>
      <c r="T4" s="205"/>
      <c r="U4" s="205"/>
      <c r="V4" s="205"/>
      <c r="W4" s="205"/>
      <c r="X4" s="206"/>
    </row>
    <row r="5" spans="1:26" ht="26.4" customHeight="1" thickBot="1" x14ac:dyDescent="0.35">
      <c r="E5" s="207"/>
      <c r="F5" s="208"/>
      <c r="G5" s="208"/>
      <c r="H5" s="208"/>
      <c r="I5" s="208"/>
      <c r="J5" s="208"/>
      <c r="K5" s="208"/>
      <c r="L5" s="208"/>
      <c r="M5" s="208"/>
      <c r="N5" s="208"/>
      <c r="O5" s="208"/>
      <c r="P5" s="208"/>
      <c r="Q5" s="208"/>
      <c r="R5" s="208"/>
      <c r="S5" s="208"/>
      <c r="T5" s="208"/>
      <c r="U5" s="208"/>
      <c r="V5" s="208"/>
      <c r="W5" s="208"/>
      <c r="X5" s="209"/>
    </row>
    <row r="6" spans="1:26" ht="16.2" customHeight="1" thickTop="1" x14ac:dyDescent="0.3">
      <c r="E6" s="559" t="str">
        <f>REP.title1</f>
        <v>STEAM FINAL TREND REPORT FOR 2011-2022</v>
      </c>
      <c r="F6" s="560"/>
      <c r="G6" s="560"/>
      <c r="H6" s="560"/>
      <c r="I6" s="560"/>
      <c r="J6" s="560"/>
      <c r="K6" s="560"/>
      <c r="L6" s="560"/>
      <c r="M6" s="560"/>
      <c r="N6" s="560"/>
      <c r="O6" s="560"/>
      <c r="P6" s="561"/>
      <c r="Q6" s="561"/>
      <c r="R6" s="561"/>
      <c r="S6" s="794" t="s">
        <v>167</v>
      </c>
      <c r="T6" s="795"/>
      <c r="U6" s="795"/>
      <c r="V6" s="795"/>
      <c r="W6" s="795"/>
      <c r="X6" s="796"/>
    </row>
    <row r="7" spans="1:26" ht="16.2" customHeight="1" thickBot="1" x14ac:dyDescent="0.35">
      <c r="E7" s="562" t="str">
        <f>REP.title2</f>
        <v>GWYNEDD COUNCIL</v>
      </c>
      <c r="F7" s="563"/>
      <c r="G7" s="563"/>
      <c r="H7" s="563"/>
      <c r="I7" s="564"/>
      <c r="J7" s="564"/>
      <c r="K7" s="564"/>
      <c r="L7" s="564"/>
      <c r="M7" s="564"/>
      <c r="N7" s="564"/>
      <c r="O7" s="565"/>
      <c r="P7" s="565"/>
      <c r="Q7" s="565"/>
      <c r="R7" s="565"/>
      <c r="S7" s="797"/>
      <c r="T7" s="798"/>
      <c r="U7" s="798"/>
      <c r="V7" s="798"/>
      <c r="W7" s="798"/>
      <c r="X7" s="799"/>
    </row>
    <row r="8" spans="1:26" ht="16.2" customHeight="1" thickTop="1" thickBot="1" x14ac:dyDescent="0.35">
      <c r="E8" s="243"/>
      <c r="F8" s="244"/>
      <c r="G8" s="244"/>
      <c r="H8" s="244"/>
      <c r="I8" s="244"/>
      <c r="J8" s="244"/>
      <c r="K8" s="244"/>
      <c r="L8" s="244"/>
      <c r="M8" s="244"/>
      <c r="N8" s="244"/>
      <c r="O8" s="243"/>
      <c r="P8" s="244"/>
      <c r="Q8" s="244"/>
      <c r="R8" s="244"/>
      <c r="S8" s="244"/>
      <c r="T8" s="244"/>
      <c r="U8" s="244"/>
      <c r="V8" s="244"/>
      <c r="W8" s="244"/>
      <c r="X8" s="245"/>
    </row>
    <row r="9" spans="1:26" s="125" customFormat="1" ht="16.2" customHeight="1" thickTop="1" x14ac:dyDescent="0.3">
      <c r="E9" s="800" t="s">
        <v>243</v>
      </c>
      <c r="F9" s="801"/>
      <c r="G9" s="801"/>
      <c r="H9" s="801"/>
      <c r="I9" s="801"/>
      <c r="J9" s="801"/>
      <c r="K9" s="801"/>
      <c r="L9" s="801"/>
      <c r="M9" s="801"/>
      <c r="N9" s="801"/>
      <c r="O9" s="801"/>
      <c r="P9" s="801"/>
      <c r="Q9" s="801"/>
      <c r="R9" s="801"/>
      <c r="S9" s="801"/>
      <c r="T9" s="801"/>
      <c r="U9" s="801"/>
      <c r="V9" s="801"/>
      <c r="W9" s="801"/>
      <c r="X9" s="802"/>
    </row>
    <row r="10" spans="1:26" s="125" customFormat="1" ht="16.2" customHeight="1" thickBot="1" x14ac:dyDescent="0.35">
      <c r="E10" s="803"/>
      <c r="F10" s="804"/>
      <c r="G10" s="804"/>
      <c r="H10" s="804"/>
      <c r="I10" s="804"/>
      <c r="J10" s="804"/>
      <c r="K10" s="804"/>
      <c r="L10" s="804"/>
      <c r="M10" s="804"/>
      <c r="N10" s="804"/>
      <c r="O10" s="804"/>
      <c r="P10" s="804"/>
      <c r="Q10" s="804"/>
      <c r="R10" s="804"/>
      <c r="S10" s="804"/>
      <c r="T10" s="804"/>
      <c r="U10" s="804"/>
      <c r="V10" s="804"/>
      <c r="W10" s="804"/>
      <c r="X10" s="805"/>
    </row>
    <row r="11" spans="1:26" s="125" customFormat="1" ht="16.2" customHeight="1" thickTop="1" x14ac:dyDescent="0.3">
      <c r="E11" s="572" t="s">
        <v>166</v>
      </c>
      <c r="F11" s="578" t="str">
        <f t="array" ref="F11:F24">IFERROR(INDEX(TYPE.choices,{1;2;3;4;5;6;7;8;9;10;11;12;13;14}),"")</f>
        <v>Total</v>
      </c>
      <c r="G11" s="573"/>
      <c r="H11" s="573"/>
      <c r="I11" s="573"/>
      <c r="J11" s="573"/>
      <c r="K11" s="573"/>
      <c r="L11" s="573"/>
      <c r="M11" s="573"/>
      <c r="N11" s="573"/>
      <c r="O11" s="573"/>
      <c r="P11" s="573"/>
      <c r="Q11" s="573"/>
      <c r="R11" s="573"/>
      <c r="S11" s="573"/>
      <c r="T11" s="573"/>
      <c r="U11" s="573"/>
      <c r="V11" s="573"/>
      <c r="W11" s="573"/>
      <c r="X11" s="574"/>
    </row>
    <row r="12" spans="1:26" ht="16.2" customHeight="1" x14ac:dyDescent="0.3">
      <c r="E12" s="575"/>
      <c r="F12" s="578" t="str">
        <v>Serviced Accommodation</v>
      </c>
      <c r="G12" s="576"/>
      <c r="H12" s="576"/>
      <c r="I12" s="576"/>
      <c r="J12" s="576"/>
      <c r="K12" s="576"/>
      <c r="L12" s="576"/>
      <c r="M12" s="576"/>
      <c r="N12" s="576"/>
      <c r="O12" s="576"/>
      <c r="P12" s="576"/>
      <c r="Q12" s="576"/>
      <c r="R12" s="576"/>
      <c r="S12" s="576"/>
      <c r="T12" s="576"/>
      <c r="U12" s="576"/>
      <c r="V12" s="576"/>
      <c r="W12" s="576"/>
      <c r="X12" s="577"/>
    </row>
    <row r="13" spans="1:26" ht="16.2" customHeight="1" x14ac:dyDescent="0.3">
      <c r="E13" s="568"/>
      <c r="F13" s="578" t="str">
        <v>Non-Serviced Accommodation</v>
      </c>
      <c r="G13" s="569"/>
      <c r="H13" s="569"/>
      <c r="I13" s="569"/>
      <c r="J13" s="569"/>
      <c r="K13" s="569"/>
      <c r="L13" s="569"/>
      <c r="M13" s="569"/>
      <c r="N13" s="569"/>
      <c r="O13" s="569"/>
      <c r="P13" s="569"/>
      <c r="Q13" s="569"/>
      <c r="R13" s="569"/>
      <c r="S13" s="569"/>
      <c r="T13" s="569"/>
      <c r="U13" s="569"/>
      <c r="V13" s="569"/>
      <c r="W13" s="569"/>
      <c r="X13" s="570"/>
    </row>
    <row r="14" spans="1:26" ht="16.2" customHeight="1" x14ac:dyDescent="0.3">
      <c r="E14" s="568"/>
      <c r="F14" s="578" t="str">
        <v>SFR</v>
      </c>
      <c r="G14" s="569"/>
      <c r="H14" s="569"/>
      <c r="I14" s="569"/>
      <c r="J14" s="569"/>
      <c r="K14" s="569"/>
      <c r="L14" s="569"/>
      <c r="M14" s="569"/>
      <c r="N14" s="569"/>
      <c r="O14" s="569"/>
      <c r="P14" s="569"/>
      <c r="Q14" s="569"/>
      <c r="R14" s="569"/>
      <c r="S14" s="569"/>
      <c r="T14" s="569"/>
      <c r="U14" s="569"/>
      <c r="V14" s="569"/>
      <c r="W14" s="569"/>
      <c r="X14" s="570"/>
    </row>
    <row r="15" spans="1:26" ht="16.2" customHeight="1" x14ac:dyDescent="0.3">
      <c r="E15" s="568"/>
      <c r="F15" s="578" t="str">
        <v>Staying Visitor</v>
      </c>
      <c r="G15" s="569"/>
      <c r="H15" s="569"/>
      <c r="I15" s="569"/>
      <c r="J15" s="569"/>
      <c r="K15" s="569"/>
      <c r="L15" s="569"/>
      <c r="M15" s="569"/>
      <c r="N15" s="569"/>
      <c r="O15" s="569"/>
      <c r="P15" s="569"/>
      <c r="Q15" s="569"/>
      <c r="R15" s="569"/>
      <c r="S15" s="569"/>
      <c r="T15" s="569"/>
      <c r="U15" s="569"/>
      <c r="V15" s="569"/>
      <c r="W15" s="569"/>
      <c r="X15" s="570"/>
    </row>
    <row r="16" spans="1:26" ht="16.2" customHeight="1" x14ac:dyDescent="0.3">
      <c r="E16" s="568"/>
      <c r="F16" s="578" t="str">
        <v>Day Visitor</v>
      </c>
      <c r="G16" s="569"/>
      <c r="H16" s="569"/>
      <c r="I16" s="569"/>
      <c r="J16" s="569"/>
      <c r="K16" s="569"/>
      <c r="L16" s="569"/>
      <c r="M16" s="569"/>
      <c r="N16" s="569"/>
      <c r="O16" s="569"/>
      <c r="P16" s="569"/>
      <c r="Q16" s="569"/>
      <c r="R16" s="569"/>
      <c r="S16" s="569"/>
      <c r="T16" s="569"/>
      <c r="U16" s="569"/>
      <c r="V16" s="569"/>
      <c r="W16" s="569"/>
      <c r="X16" s="570"/>
      <c r="Y16" s="270"/>
      <c r="Z16" s="111" t="b">
        <f>K16&gt;1000000</f>
        <v>0</v>
      </c>
    </row>
    <row r="17" spans="4:24" ht="16.2" customHeight="1" x14ac:dyDescent="0.3">
      <c r="E17" s="568"/>
      <c r="F17" s="579" t="str">
        <v/>
      </c>
      <c r="G17" s="569"/>
      <c r="H17" s="569"/>
      <c r="I17" s="569"/>
      <c r="J17" s="569"/>
      <c r="K17" s="569"/>
      <c r="L17" s="569"/>
      <c r="M17" s="569"/>
      <c r="N17" s="569"/>
      <c r="O17" s="569"/>
      <c r="P17" s="569"/>
      <c r="Q17" s="569"/>
      <c r="R17" s="569"/>
      <c r="S17" s="569"/>
      <c r="T17" s="569"/>
      <c r="U17" s="569"/>
      <c r="V17" s="569"/>
      <c r="W17" s="569"/>
      <c r="X17" s="570"/>
    </row>
    <row r="18" spans="4:24" ht="16.2" customHeight="1" x14ac:dyDescent="0.3">
      <c r="E18" s="568"/>
      <c r="F18" s="579" t="str">
        <v/>
      </c>
      <c r="G18" s="569"/>
      <c r="H18" s="569"/>
      <c r="I18" s="569"/>
      <c r="J18" s="569"/>
      <c r="K18" s="569"/>
      <c r="L18" s="569"/>
      <c r="M18" s="569"/>
      <c r="N18" s="569"/>
      <c r="O18" s="569"/>
      <c r="P18" s="569"/>
      <c r="Q18" s="569"/>
      <c r="R18" s="569"/>
      <c r="S18" s="569"/>
      <c r="T18" s="569"/>
      <c r="U18" s="569"/>
      <c r="V18" s="569"/>
      <c r="W18" s="569"/>
      <c r="X18" s="570"/>
    </row>
    <row r="19" spans="4:24" ht="16.2" customHeight="1" x14ac:dyDescent="0.3">
      <c r="E19" s="568"/>
      <c r="F19" s="579" t="str">
        <v/>
      </c>
      <c r="G19" s="569"/>
      <c r="H19" s="569"/>
      <c r="I19" s="569"/>
      <c r="J19" s="569"/>
      <c r="K19" s="569"/>
      <c r="L19" s="569"/>
      <c r="M19" s="569"/>
      <c r="N19" s="569"/>
      <c r="O19" s="569"/>
      <c r="P19" s="569"/>
      <c r="Q19" s="569"/>
      <c r="R19" s="569"/>
      <c r="S19" s="569"/>
      <c r="T19" s="569"/>
      <c r="U19" s="569"/>
      <c r="V19" s="569"/>
      <c r="W19" s="569"/>
      <c r="X19" s="570"/>
    </row>
    <row r="20" spans="4:24" ht="16.2" customHeight="1" x14ac:dyDescent="0.3">
      <c r="E20" s="568"/>
      <c r="F20" s="579" t="str">
        <v/>
      </c>
      <c r="G20" s="569"/>
      <c r="H20" s="569"/>
      <c r="I20" s="569"/>
      <c r="J20" s="569"/>
      <c r="K20" s="569"/>
      <c r="L20" s="569"/>
      <c r="M20" s="569"/>
      <c r="N20" s="569"/>
      <c r="O20" s="569"/>
      <c r="P20" s="569"/>
      <c r="Q20" s="569"/>
      <c r="R20" s="569"/>
      <c r="S20" s="569"/>
      <c r="T20" s="569"/>
      <c r="U20" s="569"/>
      <c r="V20" s="569"/>
      <c r="W20" s="569"/>
      <c r="X20" s="570"/>
    </row>
    <row r="21" spans="4:24" ht="16.2" customHeight="1" x14ac:dyDescent="0.3">
      <c r="E21" s="568"/>
      <c r="F21" s="579" t="str">
        <v/>
      </c>
      <c r="G21" s="569"/>
      <c r="H21" s="569"/>
      <c r="I21" s="569"/>
      <c r="J21" s="569"/>
      <c r="K21" s="569"/>
      <c r="L21" s="569"/>
      <c r="M21" s="569"/>
      <c r="N21" s="569"/>
      <c r="O21" s="569"/>
      <c r="P21" s="569"/>
      <c r="Q21" s="569"/>
      <c r="R21" s="569"/>
      <c r="S21" s="569"/>
      <c r="T21" s="569"/>
      <c r="U21" s="569"/>
      <c r="V21" s="569"/>
      <c r="W21" s="569"/>
      <c r="X21" s="570"/>
    </row>
    <row r="22" spans="4:24" ht="16.2" customHeight="1" x14ac:dyDescent="0.3">
      <c r="E22" s="568"/>
      <c r="F22" s="579" t="str">
        <v/>
      </c>
      <c r="G22" s="569"/>
      <c r="H22" s="569"/>
      <c r="I22" s="569"/>
      <c r="J22" s="569"/>
      <c r="K22" s="569"/>
      <c r="L22" s="569"/>
      <c r="M22" s="569"/>
      <c r="N22" s="569"/>
      <c r="O22" s="569"/>
      <c r="P22" s="569"/>
      <c r="Q22" s="569"/>
      <c r="R22" s="569"/>
      <c r="S22" s="569"/>
      <c r="T22" s="569"/>
      <c r="U22" s="569"/>
      <c r="V22" s="569"/>
      <c r="W22" s="569"/>
      <c r="X22" s="570"/>
    </row>
    <row r="23" spans="4:24" ht="16.2" customHeight="1" x14ac:dyDescent="0.3">
      <c r="E23" s="568"/>
      <c r="F23" s="579" t="str">
        <v/>
      </c>
      <c r="G23" s="569"/>
      <c r="H23" s="569"/>
      <c r="I23" s="569"/>
      <c r="J23" s="569"/>
      <c r="K23" s="569"/>
      <c r="L23" s="569"/>
      <c r="M23" s="569"/>
      <c r="N23" s="569"/>
      <c r="O23" s="569"/>
      <c r="P23" s="569"/>
      <c r="Q23" s="569"/>
      <c r="R23" s="569"/>
      <c r="S23" s="569"/>
      <c r="T23" s="569"/>
      <c r="U23" s="569"/>
      <c r="V23" s="569"/>
      <c r="W23" s="569"/>
      <c r="X23" s="570"/>
    </row>
    <row r="24" spans="4:24" ht="16.2" customHeight="1" x14ac:dyDescent="0.3">
      <c r="E24" s="568"/>
      <c r="F24" s="579" t="str">
        <v/>
      </c>
      <c r="G24" s="569"/>
      <c r="H24" s="569"/>
      <c r="I24" s="569"/>
      <c r="J24" s="569"/>
      <c r="K24" s="569"/>
      <c r="L24" s="569"/>
      <c r="M24" s="569"/>
      <c r="N24" s="569"/>
      <c r="O24" s="569"/>
      <c r="P24" s="569"/>
      <c r="Q24" s="569"/>
      <c r="R24" s="569"/>
      <c r="S24" s="569"/>
      <c r="T24" s="569"/>
      <c r="U24" s="569"/>
      <c r="V24" s="569"/>
      <c r="W24" s="569"/>
      <c r="X24" s="570"/>
    </row>
    <row r="25" spans="4:24" ht="16.2" customHeight="1" x14ac:dyDescent="0.3">
      <c r="E25" s="568"/>
      <c r="F25" s="569"/>
      <c r="G25" s="569"/>
      <c r="H25" s="569"/>
      <c r="I25" s="569"/>
      <c r="J25" s="569"/>
      <c r="K25" s="569"/>
      <c r="L25" s="569"/>
      <c r="M25" s="569"/>
      <c r="N25" s="569"/>
      <c r="O25" s="569"/>
      <c r="P25" s="569"/>
      <c r="Q25" s="569"/>
      <c r="R25" s="569"/>
      <c r="S25" s="569"/>
      <c r="T25" s="569"/>
      <c r="U25" s="569"/>
      <c r="V25" s="569"/>
      <c r="W25" s="569"/>
      <c r="X25" s="570"/>
    </row>
    <row r="26" spans="4:24" ht="16.2" customHeight="1" x14ac:dyDescent="0.3">
      <c r="E26" s="568"/>
      <c r="F26" s="569"/>
      <c r="G26" s="569"/>
      <c r="H26" s="569"/>
      <c r="I26" s="569"/>
      <c r="J26" s="569"/>
      <c r="K26" s="569"/>
      <c r="L26" s="569"/>
      <c r="M26" s="569"/>
      <c r="N26" s="569"/>
      <c r="O26" s="569"/>
      <c r="P26" s="569"/>
      <c r="Q26" s="569"/>
      <c r="R26" s="569"/>
      <c r="S26" s="569"/>
      <c r="T26" s="569"/>
      <c r="U26" s="569"/>
      <c r="V26" s="569"/>
      <c r="W26" s="569"/>
      <c r="X26" s="570"/>
    </row>
    <row r="27" spans="4:24" ht="16.2" customHeight="1" x14ac:dyDescent="0.3">
      <c r="D27" s="196" t="str">
        <f ca="1">"'"&amp;$A$1&amp;"'!"&amp;CELL("address",G27)&amp;":"&amp;CELL("address",OFFSET(G27,0,COUNT(REP.yearsrange)-1))</f>
        <v>'PB'!$G$27:$R$27</v>
      </c>
      <c r="E27" s="568"/>
      <c r="F27" s="569"/>
      <c r="G27" s="569"/>
      <c r="H27" s="569"/>
      <c r="I27" s="569"/>
      <c r="J27" s="569"/>
      <c r="K27" s="569"/>
      <c r="L27" s="569"/>
      <c r="M27" s="569"/>
      <c r="N27" s="569"/>
      <c r="O27" s="569"/>
      <c r="P27" s="569"/>
      <c r="Q27" s="569"/>
      <c r="R27" s="569"/>
      <c r="S27" s="569"/>
      <c r="T27" s="569"/>
      <c r="U27" s="569"/>
      <c r="V27" s="569"/>
      <c r="W27" s="569"/>
      <c r="X27" s="570"/>
    </row>
    <row r="28" spans="4:24" ht="16.2" customHeight="1" x14ac:dyDescent="0.3">
      <c r="D28" s="196" t="str">
        <f ca="1">"'"&amp;$A$1&amp;"'!"&amp;CELL("address",G28)&amp;":"&amp;CELL("address",OFFSET(G28,0,COUNT(REP.yearsrange)-1))</f>
        <v>'PB'!$G$28:$R$28</v>
      </c>
      <c r="E28" s="568"/>
      <c r="F28" s="569"/>
      <c r="G28" s="569"/>
      <c r="H28" s="569"/>
      <c r="I28" s="569"/>
      <c r="J28" s="569"/>
      <c r="K28" s="569"/>
      <c r="L28" s="569"/>
      <c r="M28" s="569"/>
      <c r="N28" s="569"/>
      <c r="O28" s="569"/>
      <c r="P28" s="569"/>
      <c r="Q28" s="569"/>
      <c r="R28" s="569"/>
      <c r="S28" s="569"/>
      <c r="T28" s="569"/>
      <c r="U28" s="569"/>
      <c r="V28" s="569"/>
      <c r="W28" s="569"/>
      <c r="X28" s="570"/>
    </row>
    <row r="29" spans="4:24" ht="16.2" customHeight="1" x14ac:dyDescent="0.3">
      <c r="D29" s="196" t="str">
        <f ca="1">"'"&amp;$A$1&amp;"'!"&amp;CELL("address",G29)&amp;":"&amp;CELL("address",OFFSET(G29,0,COUNT(REP.yearsrange)-1))</f>
        <v>'PB'!$G$29:$R$29</v>
      </c>
      <c r="E29" s="568"/>
      <c r="F29" s="569"/>
      <c r="G29" s="569"/>
      <c r="H29" s="569"/>
      <c r="I29" s="569"/>
      <c r="J29" s="569"/>
      <c r="K29" s="569"/>
      <c r="L29" s="569"/>
      <c r="M29" s="569"/>
      <c r="N29" s="569"/>
      <c r="O29" s="569"/>
      <c r="P29" s="569"/>
      <c r="Q29" s="569"/>
      <c r="R29" s="569"/>
      <c r="S29" s="569"/>
      <c r="T29" s="569"/>
      <c r="U29" s="569"/>
      <c r="V29" s="569"/>
      <c r="W29" s="569"/>
      <c r="X29" s="570"/>
    </row>
    <row r="30" spans="4:24" ht="16.2" customHeight="1" x14ac:dyDescent="0.3">
      <c r="D30" s="196" t="str">
        <f ca="1">"'"&amp;$A$1&amp;"'!"&amp;CELL("address",G30)&amp;":"&amp;CELL("address",OFFSET(G30,0,COUNT(REP.yearsrange)-1))</f>
        <v>'PB'!$G$30:$R$30</v>
      </c>
      <c r="E30" s="568"/>
      <c r="F30" s="569"/>
      <c r="G30" s="569"/>
      <c r="H30" s="569"/>
      <c r="I30" s="569"/>
      <c r="J30" s="569"/>
      <c r="K30" s="569"/>
      <c r="L30" s="569"/>
      <c r="M30" s="569"/>
      <c r="N30" s="569"/>
      <c r="O30" s="569"/>
      <c r="P30" s="569"/>
      <c r="Q30" s="569"/>
      <c r="R30" s="569"/>
      <c r="S30" s="569"/>
      <c r="T30" s="569"/>
      <c r="U30" s="569"/>
      <c r="V30" s="569"/>
      <c r="W30" s="569"/>
      <c r="X30" s="570"/>
    </row>
    <row r="31" spans="4:24" ht="16.2" customHeight="1" x14ac:dyDescent="0.3">
      <c r="D31" s="196" t="str">
        <f ca="1">"'"&amp;$A$1&amp;"'!"&amp;CELL("address",G31)&amp;":"&amp;CELL("address",OFFSET(G31,0,COUNT(REP.yearsrange)-1))</f>
        <v>'PB'!$G$31:$R$31</v>
      </c>
      <c r="E31" s="568"/>
      <c r="F31" s="569"/>
      <c r="G31" s="569"/>
      <c r="H31" s="569"/>
      <c r="I31" s="569"/>
      <c r="J31" s="569"/>
      <c r="K31" s="569"/>
      <c r="L31" s="569"/>
      <c r="M31" s="569"/>
      <c r="N31" s="569"/>
      <c r="O31" s="569"/>
      <c r="P31" s="569"/>
      <c r="Q31" s="569"/>
      <c r="R31" s="569"/>
      <c r="S31" s="569"/>
      <c r="T31" s="569"/>
      <c r="U31" s="569"/>
      <c r="V31" s="569"/>
      <c r="W31" s="569"/>
      <c r="X31" s="570"/>
    </row>
    <row r="32" spans="4:24" ht="16.2" customHeight="1" x14ac:dyDescent="0.3">
      <c r="D32" s="196" t="str">
        <f ca="1">"'"&amp;$A$1&amp;"'!"&amp;CELL("address",G32)&amp;":"&amp;CELL("address",OFFSET(G32,0,COUNT(REP.yearsrange)-1))</f>
        <v>'PB'!$G$32:$R$32</v>
      </c>
      <c r="E32" s="568"/>
      <c r="F32" s="569"/>
      <c r="G32" s="569"/>
      <c r="H32" s="569"/>
      <c r="I32" s="569"/>
      <c r="J32" s="569"/>
      <c r="K32" s="569"/>
      <c r="L32" s="569"/>
      <c r="M32" s="569"/>
      <c r="N32" s="569"/>
      <c r="O32" s="569"/>
      <c r="P32" s="569"/>
      <c r="Q32" s="569"/>
      <c r="R32" s="569"/>
      <c r="S32" s="569"/>
      <c r="T32" s="569"/>
      <c r="U32" s="569"/>
      <c r="V32" s="569"/>
      <c r="W32" s="569"/>
      <c r="X32" s="570"/>
    </row>
    <row r="33" spans="4:24" ht="16.2" customHeight="1" x14ac:dyDescent="0.3">
      <c r="D33" s="196"/>
      <c r="E33" s="568"/>
      <c r="F33" s="569"/>
      <c r="G33" s="569"/>
      <c r="H33" s="569"/>
      <c r="I33" s="569"/>
      <c r="J33" s="569"/>
      <c r="K33" s="569"/>
      <c r="L33" s="569"/>
      <c r="M33" s="569"/>
      <c r="N33" s="569"/>
      <c r="O33" s="569"/>
      <c r="P33" s="569"/>
      <c r="Q33" s="569"/>
      <c r="R33" s="569"/>
      <c r="S33" s="569"/>
      <c r="T33" s="569"/>
      <c r="U33" s="569"/>
      <c r="V33" s="569"/>
      <c r="W33" s="569"/>
      <c r="X33" s="570"/>
    </row>
    <row r="34" spans="4:24" ht="16.2" customHeight="1" x14ac:dyDescent="0.3">
      <c r="D34" s="196"/>
      <c r="E34" s="568"/>
      <c r="F34" s="569"/>
      <c r="G34" s="569"/>
      <c r="H34" s="569"/>
      <c r="I34" s="569"/>
      <c r="J34" s="569"/>
      <c r="K34" s="569"/>
      <c r="L34" s="569"/>
      <c r="M34" s="569"/>
      <c r="N34" s="569"/>
      <c r="O34" s="569"/>
      <c r="P34" s="569"/>
      <c r="Q34" s="569"/>
      <c r="R34" s="569"/>
      <c r="S34" s="569"/>
      <c r="T34" s="569"/>
      <c r="U34" s="569"/>
      <c r="V34" s="569"/>
      <c r="W34" s="569"/>
      <c r="X34" s="570"/>
    </row>
    <row r="35" spans="4:24" ht="16.2" customHeight="1" x14ac:dyDescent="0.3">
      <c r="D35" s="196"/>
      <c r="E35" s="568"/>
      <c r="F35" s="569"/>
      <c r="G35" s="569"/>
      <c r="H35" s="569"/>
      <c r="I35" s="569"/>
      <c r="J35" s="569"/>
      <c r="K35" s="569"/>
      <c r="L35" s="569"/>
      <c r="M35" s="569"/>
      <c r="N35" s="569"/>
      <c r="O35" s="569"/>
      <c r="P35" s="569"/>
      <c r="Q35" s="569"/>
      <c r="R35" s="569"/>
      <c r="S35" s="569"/>
      <c r="T35" s="569"/>
      <c r="U35" s="569"/>
      <c r="V35" s="569"/>
      <c r="W35" s="569"/>
      <c r="X35" s="570"/>
    </row>
    <row r="36" spans="4:24" ht="16.2" customHeight="1" thickBot="1" x14ac:dyDescent="0.35">
      <c r="D36" s="196"/>
      <c r="E36" s="566"/>
      <c r="F36" s="567"/>
      <c r="G36" s="567"/>
      <c r="H36" s="567"/>
      <c r="I36" s="567"/>
      <c r="J36" s="567"/>
      <c r="K36" s="567"/>
      <c r="L36" s="567"/>
      <c r="M36" s="567"/>
      <c r="N36" s="567"/>
      <c r="O36" s="567"/>
      <c r="P36" s="567"/>
      <c r="Q36" s="567"/>
      <c r="R36" s="567"/>
      <c r="S36" s="567"/>
      <c r="T36" s="567"/>
      <c r="U36" s="567"/>
      <c r="V36" s="567"/>
      <c r="W36" s="567"/>
      <c r="X36" s="571"/>
    </row>
    <row r="37" spans="4:24" s="174" customFormat="1" ht="16.2" customHeight="1" thickTop="1" thickBot="1" x14ac:dyDescent="0.2">
      <c r="D37" s="170"/>
      <c r="E37" s="171" t="str">
        <f>REP.footer1</f>
        <v>This report is copyright © Global Tourism Solutions (UK) Ltd 2023</v>
      </c>
      <c r="F37" s="172"/>
      <c r="G37" s="172"/>
      <c r="H37" s="172"/>
      <c r="I37" s="172"/>
      <c r="J37" s="172"/>
      <c r="K37" s="172"/>
      <c r="L37" s="172"/>
      <c r="M37" s="172"/>
      <c r="N37" s="172"/>
      <c r="O37" s="172"/>
      <c r="P37" s="172"/>
      <c r="Q37" s="172"/>
      <c r="R37" s="172"/>
      <c r="S37" s="172"/>
      <c r="T37" s="172"/>
      <c r="U37" s="172"/>
      <c r="V37" s="172"/>
      <c r="W37" s="172"/>
      <c r="X37" s="173" t="str">
        <f>REP.footer2</f>
        <v>Report Prepared by: Cathy James. Date of Issue: 14/08/23</v>
      </c>
    </row>
    <row r="38" spans="4:24" ht="16.2" customHeight="1" thickTop="1" x14ac:dyDescent="0.3"/>
    <row r="39" spans="4:24" ht="16.2" customHeight="1" x14ac:dyDescent="0.3">
      <c r="G39" s="240"/>
      <c r="H39" s="240"/>
      <c r="I39" s="240"/>
      <c r="J39" s="240"/>
      <c r="K39" s="240"/>
      <c r="L39" s="240"/>
      <c r="M39" s="240"/>
      <c r="N39" s="240"/>
      <c r="O39" s="240"/>
      <c r="P39" s="240"/>
      <c r="Q39" s="240"/>
      <c r="R39" s="240"/>
      <c r="S39" s="240"/>
      <c r="T39" s="240"/>
      <c r="U39" s="240"/>
      <c r="V39" s="240"/>
    </row>
    <row r="40" spans="4:24" ht="16.2" customHeight="1" x14ac:dyDescent="0.3">
      <c r="G40" s="240"/>
      <c r="H40" s="240"/>
      <c r="I40" s="240"/>
      <c r="J40" s="240"/>
      <c r="K40" s="240"/>
      <c r="L40" s="240"/>
      <c r="M40" s="240"/>
      <c r="N40" s="240"/>
      <c r="O40" s="240"/>
      <c r="P40" s="240"/>
      <c r="Q40" s="240"/>
      <c r="R40" s="240"/>
      <c r="S40" s="240"/>
      <c r="T40" s="240"/>
      <c r="U40" s="240"/>
      <c r="V40" s="240"/>
    </row>
    <row r="69" spans="7:23" ht="16.2" customHeight="1" x14ac:dyDescent="0.3">
      <c r="G69" s="111" t="s">
        <v>43</v>
      </c>
      <c r="H69" s="111" t="s">
        <v>43</v>
      </c>
      <c r="J69" s="111" t="s">
        <v>48</v>
      </c>
      <c r="K69" s="111" t="s">
        <v>48</v>
      </c>
      <c r="M69" s="111" t="s">
        <v>18</v>
      </c>
      <c r="N69" s="111" t="s">
        <v>18</v>
      </c>
      <c r="P69" s="111" t="s">
        <v>95</v>
      </c>
      <c r="S69" s="111" t="s">
        <v>71</v>
      </c>
      <c r="T69" s="111" t="s">
        <v>71</v>
      </c>
      <c r="V69" s="111" t="s">
        <v>54</v>
      </c>
      <c r="W69" s="111" t="s">
        <v>54</v>
      </c>
    </row>
  </sheetData>
  <sheetProtection algorithmName="SHA-512" hashValue="rJcVWHg+zsMW6QNkbaVxswbtHyplZGYwas5aapfODC74iJ7UefJSxn96UUHV34ZyrI6ivt6qxPgwGSMPl0bdKA==" saltValue="Mu4W+VcGdoHvSjAxtro3Hw==" spinCount="100000" sheet="1" objects="1" scenarios="1"/>
  <mergeCells count="2">
    <mergeCell ref="S6:X7"/>
    <mergeCell ref="E9:X10"/>
  </mergeCells>
  <printOptions horizontalCentered="1" verticalCentered="1"/>
  <pageMargins left="0.70866141732283472" right="0.70866141732283472" top="0.74803149606299213" bottom="0.74803149606299213" header="0.31496062992125984" footer="0.31496062992125984"/>
  <pageSetup paperSize="9" scale="98"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GTS04">
    <tabColor rgb="FFFFC000"/>
    <outlinePr showOutlineSymbols="0"/>
    <pageSetUpPr autoPageBreaks="0" fitToPage="1"/>
  </sheetPr>
  <dimension ref="A1:Z69"/>
  <sheetViews>
    <sheetView showGridLines="0" showRowColHeaders="0" showZeros="0" showOutlineSymbols="0" topLeftCell="A2" zoomScaleNormal="100" workbookViewId="0">
      <pane ySplit="6" topLeftCell="A8" activePane="bottomLeft" state="frozen"/>
      <selection activeCell="AC21" sqref="AC21"/>
      <selection pane="bottomLeft" activeCell="F32" sqref="F32"/>
    </sheetView>
  </sheetViews>
  <sheetFormatPr defaultColWidth="4.88671875" defaultRowHeight="16.2" customHeight="1" x14ac:dyDescent="0.3"/>
  <cols>
    <col min="1" max="3" width="4.88671875" style="111"/>
    <col min="4" max="4" width="4.88671875" style="112"/>
    <col min="5" max="5" width="19.5546875" style="111" customWidth="1"/>
    <col min="6" max="6" width="5.109375" style="111" customWidth="1"/>
    <col min="7" max="24" width="7.33203125" style="111" customWidth="1"/>
    <col min="25" max="25" width="7.109375" style="111" bestFit="1" customWidth="1"/>
    <col min="26" max="26" width="8.44140625" style="111" bestFit="1" customWidth="1"/>
    <col min="27" max="16384" width="4.88671875" style="111"/>
  </cols>
  <sheetData>
    <row r="1" spans="1:26" ht="16.2" hidden="1" customHeight="1" thickTop="1" thickBot="1" x14ac:dyDescent="0.35">
      <c r="A1" s="110" t="str">
        <f ca="1">MID(CELL("filename",A1),FIND("]",CELL("filename",A1))+1,255)</f>
        <v>ANNEX</v>
      </c>
      <c r="E1" s="113"/>
      <c r="F1" s="114"/>
      <c r="G1" s="114"/>
      <c r="H1" s="114"/>
      <c r="I1" s="114"/>
      <c r="J1" s="114"/>
      <c r="K1" s="114"/>
      <c r="L1" s="114"/>
      <c r="M1" s="114"/>
      <c r="N1" s="114"/>
      <c r="O1" s="114"/>
      <c r="P1" s="114"/>
      <c r="Q1" s="114"/>
      <c r="R1" s="114"/>
      <c r="S1" s="114"/>
      <c r="T1" s="114"/>
      <c r="U1" s="114"/>
      <c r="V1" s="114"/>
      <c r="W1" s="114"/>
      <c r="X1" s="115"/>
    </row>
    <row r="2" spans="1:26" ht="16.2" customHeight="1" thickTop="1" x14ac:dyDescent="0.3">
      <c r="E2" s="116"/>
      <c r="F2" s="117"/>
      <c r="G2" s="117"/>
      <c r="H2" s="117"/>
      <c r="I2" s="117"/>
      <c r="J2" s="117"/>
      <c r="K2" s="117"/>
      <c r="L2" s="117"/>
      <c r="M2" s="117"/>
      <c r="N2" s="117"/>
      <c r="O2" s="117"/>
      <c r="P2" s="117"/>
      <c r="Q2" s="117"/>
      <c r="R2" s="117"/>
      <c r="S2" s="117"/>
      <c r="T2" s="117"/>
      <c r="U2" s="117"/>
      <c r="V2" s="117"/>
      <c r="W2" s="117"/>
      <c r="X2" s="118"/>
    </row>
    <row r="3" spans="1:26" ht="26.4" customHeight="1" x14ac:dyDescent="0.3">
      <c r="E3" s="119"/>
      <c r="F3" s="120"/>
      <c r="G3" s="120"/>
      <c r="H3" s="120"/>
      <c r="I3" s="120"/>
      <c r="J3" s="120"/>
      <c r="K3" s="120"/>
      <c r="L3" s="120"/>
      <c r="M3" s="120"/>
      <c r="N3" s="120"/>
      <c r="O3" s="120"/>
      <c r="P3" s="120"/>
      <c r="Q3" s="120"/>
      <c r="R3" s="120"/>
      <c r="S3" s="120"/>
      <c r="T3" s="120"/>
      <c r="U3" s="120"/>
      <c r="V3" s="120"/>
      <c r="W3" s="120"/>
      <c r="X3" s="121"/>
    </row>
    <row r="4" spans="1:26" ht="26.4" customHeight="1" x14ac:dyDescent="0.3">
      <c r="E4" s="204"/>
      <c r="F4" s="205"/>
      <c r="G4" s="205"/>
      <c r="H4" s="205"/>
      <c r="I4" s="205"/>
      <c r="J4" s="205"/>
      <c r="K4" s="205"/>
      <c r="L4" s="205"/>
      <c r="M4" s="205"/>
      <c r="N4" s="205"/>
      <c r="O4" s="205"/>
      <c r="P4" s="205"/>
      <c r="Q4" s="205"/>
      <c r="R4" s="205"/>
      <c r="S4" s="205"/>
      <c r="T4" s="205"/>
      <c r="U4" s="205"/>
      <c r="V4" s="205"/>
      <c r="W4" s="205"/>
      <c r="X4" s="206"/>
    </row>
    <row r="5" spans="1:26" ht="26.4" customHeight="1" thickBot="1" x14ac:dyDescent="0.35">
      <c r="E5" s="207"/>
      <c r="F5" s="208"/>
      <c r="G5" s="208"/>
      <c r="H5" s="208"/>
      <c r="I5" s="208"/>
      <c r="J5" s="208"/>
      <c r="K5" s="208"/>
      <c r="L5" s="208"/>
      <c r="M5" s="208"/>
      <c r="N5" s="208"/>
      <c r="O5" s="208"/>
      <c r="P5" s="208"/>
      <c r="Q5" s="208"/>
      <c r="R5" s="208"/>
      <c r="S5" s="208"/>
      <c r="T5" s="208"/>
      <c r="U5" s="208"/>
      <c r="V5" s="208"/>
      <c r="W5" s="208"/>
      <c r="X5" s="209"/>
    </row>
    <row r="6" spans="1:26" ht="16.2" customHeight="1" thickTop="1" x14ac:dyDescent="0.3">
      <c r="E6" s="559" t="str">
        <f>REP.title1</f>
        <v>STEAM FINAL TREND REPORT FOR 2011-2022</v>
      </c>
      <c r="F6" s="560"/>
      <c r="G6" s="560"/>
      <c r="H6" s="560"/>
      <c r="I6" s="560"/>
      <c r="J6" s="560"/>
      <c r="K6" s="560"/>
      <c r="L6" s="560"/>
      <c r="M6" s="560"/>
      <c r="N6" s="560"/>
      <c r="O6" s="560"/>
      <c r="P6" s="561"/>
      <c r="Q6" s="561"/>
      <c r="R6" s="561"/>
      <c r="S6" s="806" t="str">
        <f>"Financial Data Indexed to "&amp;MAX(REP.yearsrange)&amp;" Prices"</f>
        <v>Financial Data Indexed to 2022 Prices</v>
      </c>
      <c r="T6" s="807"/>
      <c r="U6" s="807"/>
      <c r="V6" s="807"/>
      <c r="W6" s="807"/>
      <c r="X6" s="808"/>
    </row>
    <row r="7" spans="1:26" ht="16.2" customHeight="1" thickBot="1" x14ac:dyDescent="0.35">
      <c r="E7" s="562" t="str">
        <f>REP.title2</f>
        <v>GWYNEDD COUNCIL</v>
      </c>
      <c r="F7" s="563"/>
      <c r="G7" s="563"/>
      <c r="H7" s="563"/>
      <c r="I7" s="564"/>
      <c r="J7" s="564"/>
      <c r="K7" s="564"/>
      <c r="L7" s="564"/>
      <c r="M7" s="564"/>
      <c r="N7" s="564"/>
      <c r="O7" s="565"/>
      <c r="P7" s="565"/>
      <c r="Q7" s="565"/>
      <c r="R7" s="565"/>
      <c r="S7" s="809"/>
      <c r="T7" s="810"/>
      <c r="U7" s="810"/>
      <c r="V7" s="810"/>
      <c r="W7" s="810"/>
      <c r="X7" s="811"/>
    </row>
    <row r="8" spans="1:26" ht="16.2" customHeight="1" thickTop="1" thickBot="1" x14ac:dyDescent="0.35">
      <c r="E8" s="243"/>
      <c r="F8" s="244"/>
      <c r="G8" s="244"/>
      <c r="H8" s="244"/>
      <c r="I8" s="244"/>
      <c r="J8" s="244"/>
      <c r="K8" s="244"/>
      <c r="L8" s="244"/>
      <c r="M8" s="244"/>
      <c r="N8" s="244"/>
      <c r="O8" s="243"/>
      <c r="P8" s="244"/>
      <c r="Q8" s="244"/>
      <c r="R8" s="244"/>
      <c r="S8" s="244"/>
      <c r="T8" s="244"/>
      <c r="U8" s="244"/>
      <c r="V8" s="244"/>
      <c r="W8" s="244"/>
      <c r="X8" s="245"/>
    </row>
    <row r="9" spans="1:26" s="125" customFormat="1" ht="16.2" customHeight="1" thickTop="1" x14ac:dyDescent="0.3">
      <c r="E9" s="800" t="str">
        <f>"Report Sections With Historic "&amp;S6</f>
        <v>Report Sections With Historic Financial Data Indexed to 2022 Prices</v>
      </c>
      <c r="F9" s="801"/>
      <c r="G9" s="801"/>
      <c r="H9" s="801"/>
      <c r="I9" s="801"/>
      <c r="J9" s="801"/>
      <c r="K9" s="801"/>
      <c r="L9" s="801"/>
      <c r="M9" s="801"/>
      <c r="N9" s="801"/>
      <c r="O9" s="801"/>
      <c r="P9" s="801"/>
      <c r="Q9" s="801"/>
      <c r="R9" s="801"/>
      <c r="S9" s="801"/>
      <c r="T9" s="801"/>
      <c r="U9" s="801"/>
      <c r="V9" s="801"/>
      <c r="W9" s="801"/>
      <c r="X9" s="802"/>
    </row>
    <row r="10" spans="1:26" s="125" customFormat="1" ht="16.2" customHeight="1" thickBot="1" x14ac:dyDescent="0.35">
      <c r="E10" s="803"/>
      <c r="F10" s="804"/>
      <c r="G10" s="804"/>
      <c r="H10" s="804"/>
      <c r="I10" s="804"/>
      <c r="J10" s="804"/>
      <c r="K10" s="804"/>
      <c r="L10" s="804"/>
      <c r="M10" s="804"/>
      <c r="N10" s="804"/>
      <c r="O10" s="804"/>
      <c r="P10" s="804"/>
      <c r="Q10" s="804"/>
      <c r="R10" s="804"/>
      <c r="S10" s="804"/>
      <c r="T10" s="804"/>
      <c r="U10" s="804"/>
      <c r="V10" s="804"/>
      <c r="W10" s="804"/>
      <c r="X10" s="805"/>
    </row>
    <row r="11" spans="1:26" s="125" customFormat="1" ht="16.2" customHeight="1" thickTop="1" thickBot="1" x14ac:dyDescent="0.35">
      <c r="E11" s="572" t="s">
        <v>168</v>
      </c>
      <c r="F11" s="581" t="s">
        <v>105</v>
      </c>
      <c r="G11" s="573"/>
      <c r="H11" s="573"/>
      <c r="I11" s="573"/>
      <c r="J11" s="573"/>
      <c r="K11" s="573"/>
      <c r="L11" s="580" t="s">
        <v>166</v>
      </c>
      <c r="M11" s="569"/>
      <c r="N11" s="569"/>
      <c r="O11" s="578" t="str">
        <f t="array" ref="O11:O24">IFERROR(INDEX(TYPE.choices,{1;2;3;4;5;6;7;8;9;10;11;12;13;14}),"")</f>
        <v>Total</v>
      </c>
      <c r="P11" s="573"/>
      <c r="Q11" s="573"/>
      <c r="R11" s="573"/>
      <c r="S11" s="573"/>
      <c r="T11" s="573"/>
      <c r="U11" s="573"/>
      <c r="V11" s="573"/>
      <c r="W11" s="573"/>
      <c r="X11" s="574"/>
    </row>
    <row r="12" spans="1:26" ht="16.2" customHeight="1" thickTop="1" thickBot="1" x14ac:dyDescent="0.35">
      <c r="E12" s="575"/>
      <c r="F12" s="581" t="s">
        <v>135</v>
      </c>
      <c r="G12" s="576"/>
      <c r="H12" s="576"/>
      <c r="I12" s="576"/>
      <c r="J12" s="576"/>
      <c r="K12" s="576"/>
      <c r="L12" s="575"/>
      <c r="M12" s="569"/>
      <c r="N12" s="569"/>
      <c r="O12" s="578" t="str">
        <v>Serviced Accommodation</v>
      </c>
      <c r="P12" s="576"/>
      <c r="Q12" s="576"/>
      <c r="R12" s="576"/>
      <c r="S12" s="576"/>
      <c r="T12" s="576"/>
      <c r="U12" s="576"/>
      <c r="V12" s="576"/>
      <c r="W12" s="576"/>
      <c r="X12" s="577"/>
    </row>
    <row r="13" spans="1:26" ht="16.2" customHeight="1" thickTop="1" thickBot="1" x14ac:dyDescent="0.35">
      <c r="E13" s="568"/>
      <c r="F13" s="581" t="s">
        <v>17</v>
      </c>
      <c r="G13" s="569"/>
      <c r="H13" s="569"/>
      <c r="I13" s="569"/>
      <c r="J13" s="569"/>
      <c r="K13" s="569"/>
      <c r="L13" s="568"/>
      <c r="M13" s="569"/>
      <c r="N13" s="569"/>
      <c r="O13" s="578" t="str">
        <v>Non-Serviced Accommodation</v>
      </c>
      <c r="P13" s="569"/>
      <c r="Q13" s="569"/>
      <c r="R13" s="569"/>
      <c r="S13" s="569"/>
      <c r="T13" s="569"/>
      <c r="U13" s="569"/>
      <c r="V13" s="569"/>
      <c r="W13" s="569"/>
      <c r="X13" s="570"/>
    </row>
    <row r="14" spans="1:26" ht="16.2" customHeight="1" thickTop="1" thickBot="1" x14ac:dyDescent="0.35">
      <c r="E14" s="568"/>
      <c r="F14" s="581" t="s">
        <v>106</v>
      </c>
      <c r="G14" s="569"/>
      <c r="H14" s="569"/>
      <c r="I14" s="569"/>
      <c r="J14" s="569"/>
      <c r="K14" s="569"/>
      <c r="L14" s="568"/>
      <c r="M14" s="569"/>
      <c r="N14" s="569"/>
      <c r="O14" s="578" t="str">
        <v>SFR</v>
      </c>
      <c r="P14" s="569"/>
      <c r="Q14" s="569"/>
      <c r="R14" s="569"/>
      <c r="S14" s="569"/>
      <c r="T14" s="569"/>
      <c r="U14" s="569"/>
      <c r="V14" s="569"/>
      <c r="W14" s="569"/>
      <c r="X14" s="570"/>
    </row>
    <row r="15" spans="1:26" ht="16.2" customHeight="1" thickTop="1" thickBot="1" x14ac:dyDescent="0.35">
      <c r="E15" s="568"/>
      <c r="F15" s="581"/>
      <c r="G15" s="569"/>
      <c r="H15" s="569"/>
      <c r="I15" s="569"/>
      <c r="J15" s="569"/>
      <c r="K15" s="569"/>
      <c r="L15" s="568"/>
      <c r="M15" s="569"/>
      <c r="N15" s="569"/>
      <c r="O15" s="578" t="str">
        <v>Staying Visitor</v>
      </c>
      <c r="P15" s="569"/>
      <c r="Q15" s="569"/>
      <c r="R15" s="569"/>
      <c r="S15" s="569"/>
      <c r="T15" s="569"/>
      <c r="U15" s="569"/>
      <c r="V15" s="569"/>
      <c r="W15" s="569"/>
      <c r="X15" s="570"/>
    </row>
    <row r="16" spans="1:26" ht="16.2" customHeight="1" thickTop="1" thickBot="1" x14ac:dyDescent="0.35">
      <c r="E16" s="568"/>
      <c r="F16" s="581"/>
      <c r="G16" s="569"/>
      <c r="H16" s="569"/>
      <c r="I16" s="569"/>
      <c r="J16" s="569"/>
      <c r="K16" s="569"/>
      <c r="L16" s="568"/>
      <c r="M16" s="569"/>
      <c r="N16" s="569"/>
      <c r="O16" s="578" t="str">
        <v>Day Visitor</v>
      </c>
      <c r="P16" s="569"/>
      <c r="Q16" s="569"/>
      <c r="R16" s="569"/>
      <c r="S16" s="569"/>
      <c r="T16" s="569"/>
      <c r="U16" s="569"/>
      <c r="V16" s="569"/>
      <c r="W16" s="569"/>
      <c r="X16" s="570"/>
      <c r="Y16" s="270"/>
      <c r="Z16" s="111" t="b">
        <f>K16&gt;1000000</f>
        <v>0</v>
      </c>
    </row>
    <row r="17" spans="4:24" ht="16.2" customHeight="1" thickTop="1" x14ac:dyDescent="0.3">
      <c r="E17" s="568"/>
      <c r="F17" s="581"/>
      <c r="G17" s="569"/>
      <c r="H17" s="569"/>
      <c r="I17" s="569"/>
      <c r="J17" s="569"/>
      <c r="K17" s="569"/>
      <c r="L17" s="568"/>
      <c r="M17" s="569"/>
      <c r="N17" s="569"/>
      <c r="O17" s="579" t="str">
        <v/>
      </c>
      <c r="P17" s="569"/>
      <c r="Q17" s="569"/>
      <c r="R17" s="569"/>
      <c r="S17" s="569"/>
      <c r="T17" s="569"/>
      <c r="U17" s="569"/>
      <c r="V17" s="569"/>
      <c r="W17" s="569"/>
      <c r="X17" s="570"/>
    </row>
    <row r="18" spans="4:24" ht="16.2" customHeight="1" x14ac:dyDescent="0.3">
      <c r="E18" s="568"/>
      <c r="F18" s="569"/>
      <c r="G18" s="569"/>
      <c r="H18" s="569"/>
      <c r="I18" s="569"/>
      <c r="J18" s="569"/>
      <c r="K18" s="569"/>
      <c r="L18" s="568"/>
      <c r="M18" s="569"/>
      <c r="N18" s="569"/>
      <c r="O18" s="579" t="str">
        <v/>
      </c>
      <c r="P18" s="569"/>
      <c r="Q18" s="569"/>
      <c r="R18" s="569"/>
      <c r="S18" s="569"/>
      <c r="T18" s="569"/>
      <c r="U18" s="569"/>
      <c r="V18" s="569"/>
      <c r="W18" s="569"/>
      <c r="X18" s="570"/>
    </row>
    <row r="19" spans="4:24" ht="16.2" customHeight="1" thickBot="1" x14ac:dyDescent="0.35">
      <c r="E19" s="568"/>
      <c r="F19" s="569"/>
      <c r="G19" s="569"/>
      <c r="H19" s="569"/>
      <c r="I19" s="569"/>
      <c r="J19" s="569"/>
      <c r="K19" s="569"/>
      <c r="L19" s="568"/>
      <c r="M19" s="569"/>
      <c r="N19" s="569"/>
      <c r="O19" s="579" t="str">
        <v/>
      </c>
      <c r="P19" s="569"/>
      <c r="Q19" s="569"/>
      <c r="R19" s="569"/>
      <c r="S19" s="569"/>
      <c r="T19" s="569"/>
      <c r="U19" s="569"/>
      <c r="V19" s="569"/>
      <c r="W19" s="569"/>
      <c r="X19" s="570"/>
    </row>
    <row r="20" spans="4:24" ht="16.2" customHeight="1" thickTop="1" thickBot="1" x14ac:dyDescent="0.35">
      <c r="E20" s="572" t="s">
        <v>169</v>
      </c>
      <c r="F20" s="586" t="str">
        <f>"Indexation to: "&amp;MAX(REP.yearsrange)</f>
        <v>Indexation to: 2022</v>
      </c>
      <c r="G20" s="583"/>
      <c r="H20" s="569"/>
      <c r="I20" s="569"/>
      <c r="J20" s="569"/>
      <c r="K20" s="569"/>
      <c r="L20" s="568"/>
      <c r="M20" s="569"/>
      <c r="N20" s="569"/>
      <c r="O20" s="579" t="str">
        <v/>
      </c>
      <c r="P20" s="569"/>
      <c r="Q20" s="569"/>
      <c r="R20" s="569"/>
      <c r="S20" s="569"/>
      <c r="T20" s="569"/>
      <c r="U20" s="569"/>
      <c r="V20" s="569"/>
      <c r="W20" s="569"/>
      <c r="X20" s="570"/>
    </row>
    <row r="21" spans="4:24" ht="16.2" customHeight="1" thickTop="1" thickBot="1" x14ac:dyDescent="0.35">
      <c r="E21" s="585">
        <f t="array" ref="E21:E32">IF(REP.yearsrange="","",REP.yearsrange)</f>
        <v>2011</v>
      </c>
      <c r="F21" s="582">
        <f t="array" ref="F21:F32">IF(REP.indexationfactors="","",REP.indexationfactors)</f>
        <v>1.3874181822756195</v>
      </c>
      <c r="G21" s="583"/>
      <c r="H21" s="569"/>
      <c r="I21" s="569"/>
      <c r="J21" s="569"/>
      <c r="K21" s="569"/>
      <c r="L21" s="568"/>
      <c r="M21" s="569"/>
      <c r="N21" s="569"/>
      <c r="O21" s="579" t="str">
        <v/>
      </c>
      <c r="P21" s="569"/>
      <c r="Q21" s="569"/>
      <c r="R21" s="569"/>
      <c r="S21" s="569"/>
      <c r="T21" s="569"/>
      <c r="U21" s="569"/>
      <c r="V21" s="569"/>
      <c r="W21" s="569"/>
      <c r="X21" s="570"/>
    </row>
    <row r="22" spans="4:24" ht="16.2" customHeight="1" thickTop="1" thickBot="1" x14ac:dyDescent="0.35">
      <c r="E22" s="585">
        <v>2012</v>
      </c>
      <c r="F22" s="582">
        <v>1.334954471543943</v>
      </c>
      <c r="G22" s="583"/>
      <c r="H22" s="569"/>
      <c r="I22" s="569"/>
      <c r="J22" s="569"/>
      <c r="K22" s="569"/>
      <c r="L22" s="568"/>
      <c r="M22" s="569"/>
      <c r="N22" s="569"/>
      <c r="O22" s="579" t="str">
        <v/>
      </c>
      <c r="P22" s="569"/>
      <c r="Q22" s="569"/>
      <c r="R22" s="569"/>
      <c r="S22" s="569"/>
      <c r="T22" s="569"/>
      <c r="U22" s="569"/>
      <c r="V22" s="569"/>
      <c r="W22" s="569"/>
      <c r="X22" s="570"/>
    </row>
    <row r="23" spans="4:24" ht="16.2" customHeight="1" thickTop="1" thickBot="1" x14ac:dyDescent="0.35">
      <c r="E23" s="585">
        <v>2013</v>
      </c>
      <c r="F23" s="582">
        <v>1.2925585510688835</v>
      </c>
      <c r="G23" s="583"/>
      <c r="H23" s="569"/>
      <c r="I23" s="569"/>
      <c r="J23" s="569"/>
      <c r="K23" s="569"/>
      <c r="L23" s="568"/>
      <c r="M23" s="569"/>
      <c r="N23" s="569"/>
      <c r="O23" s="579" t="str">
        <v/>
      </c>
      <c r="P23" s="569"/>
      <c r="Q23" s="569"/>
      <c r="R23" s="569"/>
      <c r="S23" s="569"/>
      <c r="T23" s="569"/>
      <c r="U23" s="569"/>
      <c r="V23" s="569"/>
      <c r="W23" s="569"/>
      <c r="X23" s="570"/>
    </row>
    <row r="24" spans="4:24" ht="16.2" customHeight="1" thickTop="1" thickBot="1" x14ac:dyDescent="0.35">
      <c r="E24" s="585">
        <v>2014</v>
      </c>
      <c r="F24" s="582">
        <v>1.2577197149643706</v>
      </c>
      <c r="G24" s="583"/>
      <c r="H24" s="569"/>
      <c r="I24" s="569"/>
      <c r="J24" s="569"/>
      <c r="K24" s="569"/>
      <c r="L24" s="568"/>
      <c r="M24" s="569"/>
      <c r="N24" s="569"/>
      <c r="O24" s="579" t="str">
        <v/>
      </c>
      <c r="P24" s="569"/>
      <c r="Q24" s="569"/>
      <c r="R24" s="569"/>
      <c r="S24" s="569"/>
      <c r="T24" s="569"/>
      <c r="U24" s="569"/>
      <c r="V24" s="569"/>
      <c r="W24" s="569"/>
      <c r="X24" s="570"/>
    </row>
    <row r="25" spans="4:24" ht="16.2" customHeight="1" thickTop="1" thickBot="1" x14ac:dyDescent="0.35">
      <c r="E25" s="585">
        <v>2015</v>
      </c>
      <c r="F25" s="582">
        <v>1.243931088488645</v>
      </c>
      <c r="G25" s="583"/>
      <c r="H25" s="569"/>
      <c r="I25" s="569"/>
      <c r="J25" s="569"/>
      <c r="K25" s="569"/>
      <c r="L25" s="569"/>
      <c r="M25" s="569"/>
      <c r="N25" s="569"/>
      <c r="O25" s="569"/>
      <c r="P25" s="569"/>
      <c r="Q25" s="569"/>
      <c r="R25" s="569"/>
      <c r="S25" s="569"/>
      <c r="T25" s="569"/>
      <c r="U25" s="569"/>
      <c r="V25" s="569"/>
      <c r="W25" s="569"/>
      <c r="X25" s="570"/>
    </row>
    <row r="26" spans="4:24" ht="16.2" customHeight="1" thickTop="1" thickBot="1" x14ac:dyDescent="0.35">
      <c r="E26" s="585">
        <v>2016</v>
      </c>
      <c r="F26" s="582">
        <v>1.2275888717156105</v>
      </c>
      <c r="G26" s="583"/>
      <c r="H26" s="569"/>
      <c r="I26" s="569"/>
      <c r="J26" s="569"/>
      <c r="K26" s="569"/>
      <c r="L26" s="569"/>
      <c r="M26" s="569"/>
      <c r="N26" s="569"/>
      <c r="O26" s="569"/>
      <c r="P26" s="569"/>
      <c r="Q26" s="569"/>
      <c r="R26" s="569"/>
      <c r="S26" s="569"/>
      <c r="T26" s="569"/>
      <c r="U26" s="569"/>
      <c r="V26" s="569"/>
      <c r="W26" s="569"/>
      <c r="X26" s="570"/>
    </row>
    <row r="27" spans="4:24" ht="16.2" customHeight="1" thickTop="1" thickBot="1" x14ac:dyDescent="0.35">
      <c r="D27" s="196" t="e">
        <f ca="1">"'"&amp;$A$1&amp;"'!"&amp;CELL("address",#REF!)&amp;":"&amp;CELL("address",OFFSET(#REF!,0,COUNT(REP.yearsrange)-1))</f>
        <v>#REF!</v>
      </c>
      <c r="E27" s="585">
        <v>2017</v>
      </c>
      <c r="F27" s="582">
        <v>1.1966101694915252</v>
      </c>
      <c r="G27" s="583"/>
      <c r="H27" s="569"/>
      <c r="I27" s="569"/>
      <c r="J27" s="569"/>
      <c r="K27" s="569"/>
      <c r="L27" s="569"/>
      <c r="M27" s="569"/>
      <c r="N27" s="569"/>
      <c r="O27" s="569"/>
      <c r="P27" s="569"/>
      <c r="Q27" s="569"/>
      <c r="R27" s="569"/>
      <c r="S27" s="569"/>
      <c r="T27" s="569"/>
      <c r="U27" s="569"/>
      <c r="V27" s="569"/>
      <c r="W27" s="569"/>
      <c r="X27" s="570"/>
    </row>
    <row r="28" spans="4:24" ht="16.2" customHeight="1" thickTop="1" thickBot="1" x14ac:dyDescent="0.35">
      <c r="D28" s="196" t="e">
        <f ca="1">"'"&amp;$A$1&amp;"'!"&amp;CELL("address",#REF!)&amp;":"&amp;CELL("address",OFFSET(#REF!,0,COUNT(REP.yearsrange)-1))</f>
        <v>#REF!</v>
      </c>
      <c r="E28" s="584">
        <v>2018</v>
      </c>
      <c r="F28" s="582">
        <v>1.151086956521739</v>
      </c>
      <c r="G28" s="583"/>
      <c r="H28" s="569"/>
      <c r="I28" s="569"/>
      <c r="J28" s="569"/>
      <c r="K28" s="569"/>
      <c r="L28" s="569"/>
      <c r="M28" s="569"/>
      <c r="N28" s="569"/>
      <c r="O28" s="569"/>
      <c r="P28" s="569"/>
      <c r="Q28" s="569"/>
      <c r="R28" s="569"/>
      <c r="S28" s="569"/>
      <c r="T28" s="569"/>
      <c r="U28" s="569"/>
      <c r="V28" s="569"/>
      <c r="W28" s="569"/>
      <c r="X28" s="570"/>
    </row>
    <row r="29" spans="4:24" ht="16.2" customHeight="1" thickTop="1" thickBot="1" x14ac:dyDescent="0.35">
      <c r="D29" s="196" t="e">
        <f ca="1">"'"&amp;$A$1&amp;"'!"&amp;CELL("address",#REF!)&amp;":"&amp;CELL("address",OFFSET(#REF!,0,COUNT(REP.yearsrange)-1))</f>
        <v>#REF!</v>
      </c>
      <c r="E29" s="584">
        <v>2019</v>
      </c>
      <c r="F29" s="582">
        <v>1.1226148409893992</v>
      </c>
      <c r="G29" s="583"/>
      <c r="H29" s="569"/>
      <c r="I29" s="569"/>
      <c r="J29" s="569"/>
      <c r="K29" s="569"/>
      <c r="L29" s="569"/>
      <c r="M29" s="569"/>
      <c r="N29" s="569"/>
      <c r="O29" s="569"/>
      <c r="P29" s="569"/>
      <c r="Q29" s="569"/>
      <c r="R29" s="569"/>
      <c r="S29" s="569"/>
      <c r="T29" s="569"/>
      <c r="U29" s="569"/>
      <c r="V29" s="569"/>
      <c r="W29" s="569"/>
      <c r="X29" s="570"/>
    </row>
    <row r="30" spans="4:24" ht="16.2" customHeight="1" thickTop="1" thickBot="1" x14ac:dyDescent="0.35">
      <c r="D30" s="196" t="e">
        <f ca="1">"'"&amp;$A$1&amp;"'!"&amp;CELL("address",#REF!)&amp;":"&amp;CELL("address",OFFSET(#REF!,0,COUNT(REP.yearsrange)-1))</f>
        <v>#REF!</v>
      </c>
      <c r="E30" s="584">
        <v>2020</v>
      </c>
      <c r="F30" s="582">
        <v>1.093255333792154</v>
      </c>
      <c r="G30" s="583"/>
      <c r="H30" s="569"/>
      <c r="I30" s="569"/>
      <c r="J30" s="569"/>
      <c r="K30" s="569"/>
      <c r="L30" s="569"/>
      <c r="M30" s="569"/>
      <c r="N30" s="569"/>
      <c r="O30" s="569"/>
      <c r="P30" s="569"/>
      <c r="Q30" s="569"/>
      <c r="R30" s="569"/>
      <c r="S30" s="569"/>
      <c r="T30" s="569"/>
      <c r="U30" s="569"/>
      <c r="V30" s="569"/>
      <c r="W30" s="569"/>
      <c r="X30" s="570"/>
    </row>
    <row r="31" spans="4:24" ht="16.2" customHeight="1" thickTop="1" thickBot="1" x14ac:dyDescent="0.35">
      <c r="D31" s="196" t="e">
        <f ca="1">"'"&amp;$A$1&amp;"'!"&amp;CELL("address",#REF!)&amp;":"&amp;CELL("address",OFFSET(#REF!,0,COUNT(REP.yearsrange)-1))</f>
        <v>#REF!</v>
      </c>
      <c r="E31" s="584">
        <v>2021</v>
      </c>
      <c r="F31" s="582">
        <v>1.0784114052953155</v>
      </c>
      <c r="G31" s="583"/>
      <c r="H31" s="569"/>
      <c r="I31" s="569"/>
      <c r="J31" s="569"/>
      <c r="K31" s="569"/>
      <c r="L31" s="569"/>
      <c r="M31" s="569"/>
      <c r="N31" s="569"/>
      <c r="O31" s="569"/>
      <c r="P31" s="569"/>
      <c r="Q31" s="569"/>
      <c r="R31" s="569"/>
      <c r="S31" s="569"/>
      <c r="T31" s="569"/>
      <c r="U31" s="569"/>
      <c r="V31" s="569"/>
      <c r="W31" s="569"/>
      <c r="X31" s="570"/>
    </row>
    <row r="32" spans="4:24" ht="16.2" customHeight="1" thickTop="1" x14ac:dyDescent="0.3">
      <c r="D32" s="196" t="e">
        <f ca="1">"'"&amp;$A$1&amp;"'!"&amp;CELL("address",#REF!)&amp;":"&amp;CELL("address",OFFSET(#REF!,0,COUNT(REP.yearsrange)-1))</f>
        <v>#REF!</v>
      </c>
      <c r="E32" s="584">
        <v>2022</v>
      </c>
      <c r="F32" s="582">
        <v>1</v>
      </c>
      <c r="G32" s="583"/>
      <c r="H32" s="569"/>
      <c r="I32" s="569"/>
      <c r="J32" s="569"/>
      <c r="K32" s="569"/>
      <c r="L32" s="569"/>
      <c r="M32" s="569"/>
      <c r="N32" s="569"/>
      <c r="O32" s="569"/>
      <c r="P32" s="569"/>
      <c r="Q32" s="569"/>
      <c r="R32" s="569"/>
      <c r="S32" s="569"/>
      <c r="T32" s="569"/>
      <c r="U32" s="569"/>
      <c r="V32" s="569"/>
      <c r="W32" s="569"/>
      <c r="X32" s="570"/>
    </row>
    <row r="33" spans="4:24" ht="16.2" customHeight="1" x14ac:dyDescent="0.3">
      <c r="D33" s="196"/>
      <c r="E33" s="568"/>
      <c r="F33" s="569"/>
      <c r="G33" s="569"/>
      <c r="H33" s="569"/>
      <c r="I33" s="569"/>
      <c r="J33" s="569"/>
      <c r="K33" s="569"/>
      <c r="L33" s="569"/>
      <c r="M33" s="569"/>
      <c r="N33" s="569"/>
      <c r="O33" s="569"/>
      <c r="P33" s="569"/>
      <c r="Q33" s="569"/>
      <c r="R33" s="569"/>
      <c r="S33" s="569"/>
      <c r="T33" s="569"/>
      <c r="U33" s="569"/>
      <c r="V33" s="569"/>
      <c r="W33" s="569"/>
      <c r="X33" s="570"/>
    </row>
    <row r="34" spans="4:24" ht="16.2" customHeight="1" x14ac:dyDescent="0.3">
      <c r="D34" s="196"/>
      <c r="E34" s="568"/>
      <c r="F34" s="569"/>
      <c r="G34" s="569"/>
      <c r="H34" s="569"/>
      <c r="I34" s="569"/>
      <c r="J34" s="569"/>
      <c r="K34" s="569"/>
      <c r="L34" s="569"/>
      <c r="M34" s="569"/>
      <c r="N34" s="569"/>
      <c r="O34" s="569"/>
      <c r="P34" s="569"/>
      <c r="Q34" s="569"/>
      <c r="R34" s="569"/>
      <c r="S34" s="569"/>
      <c r="T34" s="569"/>
      <c r="U34" s="569"/>
      <c r="V34" s="569"/>
      <c r="W34" s="569"/>
      <c r="X34" s="570"/>
    </row>
    <row r="35" spans="4:24" ht="16.2" customHeight="1" x14ac:dyDescent="0.3">
      <c r="D35" s="196"/>
      <c r="E35" s="568"/>
      <c r="F35" s="569"/>
      <c r="G35" s="569"/>
      <c r="H35" s="569"/>
      <c r="I35" s="569"/>
      <c r="J35" s="569"/>
      <c r="K35" s="569"/>
      <c r="L35" s="569"/>
      <c r="M35" s="569"/>
      <c r="N35" s="569"/>
      <c r="O35" s="569"/>
      <c r="P35" s="569"/>
      <c r="Q35" s="569"/>
      <c r="R35" s="569"/>
      <c r="S35" s="569"/>
      <c r="T35" s="569"/>
      <c r="U35" s="569"/>
      <c r="V35" s="569"/>
      <c r="W35" s="569"/>
      <c r="X35" s="570"/>
    </row>
    <row r="36" spans="4:24" ht="16.2" customHeight="1" thickBot="1" x14ac:dyDescent="0.35">
      <c r="D36" s="196"/>
      <c r="E36" s="566"/>
      <c r="F36" s="567"/>
      <c r="G36" s="567"/>
      <c r="H36" s="567"/>
      <c r="I36" s="567"/>
      <c r="J36" s="567"/>
      <c r="K36" s="567"/>
      <c r="L36" s="567"/>
      <c r="M36" s="567"/>
      <c r="N36" s="567"/>
      <c r="O36" s="567"/>
      <c r="P36" s="567"/>
      <c r="Q36" s="567"/>
      <c r="R36" s="567"/>
      <c r="S36" s="567"/>
      <c r="T36" s="567"/>
      <c r="U36" s="567"/>
      <c r="V36" s="567"/>
      <c r="W36" s="567"/>
      <c r="X36" s="571"/>
    </row>
    <row r="37" spans="4:24" s="174" customFormat="1" ht="16.2" customHeight="1" thickTop="1" thickBot="1" x14ac:dyDescent="0.2">
      <c r="D37" s="170"/>
      <c r="E37" s="171" t="str">
        <f>REP.footer1</f>
        <v>This report is copyright © Global Tourism Solutions (UK) Ltd 2023</v>
      </c>
      <c r="F37" s="172"/>
      <c r="G37" s="172"/>
      <c r="H37" s="172"/>
      <c r="I37" s="172"/>
      <c r="J37" s="172"/>
      <c r="K37" s="172"/>
      <c r="L37" s="172"/>
      <c r="M37" s="172"/>
      <c r="N37" s="172"/>
      <c r="O37" s="172"/>
      <c r="P37" s="172"/>
      <c r="Q37" s="172"/>
      <c r="R37" s="172"/>
      <c r="S37" s="172"/>
      <c r="T37" s="172"/>
      <c r="U37" s="172"/>
      <c r="V37" s="172"/>
      <c r="W37" s="172"/>
      <c r="X37" s="173" t="str">
        <f>REP.footer2</f>
        <v>Report Prepared by: Cathy James. Date of Issue: 14/08/23</v>
      </c>
    </row>
    <row r="38" spans="4:24" ht="16.2" customHeight="1" thickTop="1" x14ac:dyDescent="0.3"/>
    <row r="39" spans="4:24" ht="16.2" customHeight="1" x14ac:dyDescent="0.3">
      <c r="G39" s="240"/>
      <c r="H39" s="240"/>
      <c r="I39" s="240"/>
      <c r="J39" s="240"/>
      <c r="K39" s="240"/>
      <c r="L39" s="240"/>
      <c r="M39" s="240"/>
      <c r="N39" s="240"/>
      <c r="O39" s="240"/>
      <c r="P39" s="240"/>
      <c r="Q39" s="240"/>
      <c r="R39" s="240"/>
      <c r="S39" s="240"/>
      <c r="T39" s="240"/>
      <c r="U39" s="240"/>
      <c r="V39" s="240"/>
    </row>
    <row r="40" spans="4:24" ht="16.2" customHeight="1" x14ac:dyDescent="0.3">
      <c r="G40" s="240"/>
      <c r="H40" s="240"/>
      <c r="I40" s="240"/>
      <c r="J40" s="240"/>
      <c r="K40" s="240"/>
      <c r="L40" s="240"/>
      <c r="M40" s="240"/>
      <c r="N40" s="240"/>
      <c r="O40" s="240"/>
      <c r="P40" s="240"/>
      <c r="Q40" s="240"/>
      <c r="R40" s="240"/>
      <c r="S40" s="240"/>
      <c r="T40" s="240"/>
      <c r="U40" s="240"/>
      <c r="V40" s="240"/>
    </row>
    <row r="69" spans="7:23" ht="16.2" customHeight="1" x14ac:dyDescent="0.3">
      <c r="G69" s="111" t="s">
        <v>43</v>
      </c>
      <c r="H69" s="111" t="s">
        <v>43</v>
      </c>
      <c r="J69" s="111" t="s">
        <v>48</v>
      </c>
      <c r="K69" s="111" t="s">
        <v>48</v>
      </c>
      <c r="M69" s="111" t="s">
        <v>18</v>
      </c>
      <c r="N69" s="111" t="s">
        <v>18</v>
      </c>
      <c r="P69" s="111" t="s">
        <v>95</v>
      </c>
      <c r="S69" s="111" t="s">
        <v>71</v>
      </c>
      <c r="T69" s="111" t="s">
        <v>71</v>
      </c>
      <c r="V69" s="111" t="s">
        <v>54</v>
      </c>
      <c r="W69" s="111" t="s">
        <v>54</v>
      </c>
    </row>
  </sheetData>
  <sheetProtection algorithmName="SHA-512" hashValue="v4AWwVryjNy8bitS8+EIZ+E5vGLOP6yfii1n7b0CvkefECdZd37ieZsbFjBTf0F+czftXKDSKG/cAbspADysqw==" saltValue="jWFAVM1LDqR3HgIW78aCnQ==" spinCount="100000" sheet="1" objects="1" scenarios="1"/>
  <mergeCells count="2">
    <mergeCell ref="S6:X7"/>
    <mergeCell ref="E9:X10"/>
  </mergeCells>
  <printOptions horizontalCentered="1" verticalCentered="1"/>
  <pageMargins left="0.70866141732283472" right="0.70866141732283472" top="0.74803149606299213" bottom="0.74803149606299213" header="0.31496062992125984" footer="0.31496062992125984"/>
  <pageSetup paperSize="9" scale="98" orientation="landscape" r:id="rId1"/>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Client03">
    <tabColor theme="4" tint="-0.499984740745262"/>
    <outlinePr showOutlineSymbols="0"/>
    <pageSetUpPr autoPageBreaks="0" fitToPage="1"/>
  </sheetPr>
  <dimension ref="A1:X69"/>
  <sheetViews>
    <sheetView showGridLines="0" showRowColHeaders="0" showZeros="0" tabSelected="1" showOutlineSymbols="0" topLeftCell="A2" zoomScaleNormal="100" workbookViewId="0">
      <pane ySplit="6" topLeftCell="A8" activePane="bottomLeft" state="frozen"/>
      <selection activeCell="M48" sqref="M48"/>
      <selection pane="bottomLeft" activeCell="E6" sqref="E6"/>
    </sheetView>
  </sheetViews>
  <sheetFormatPr defaultColWidth="4.88671875" defaultRowHeight="16.2" customHeight="1" x14ac:dyDescent="0.3"/>
  <cols>
    <col min="1" max="3" width="4.88671875" style="111"/>
    <col min="4" max="4" width="4.88671875" style="112"/>
    <col min="5" max="5" width="19.5546875" style="111" customWidth="1"/>
    <col min="6" max="6" width="5.109375" style="111" customWidth="1"/>
    <col min="7" max="24" width="7.33203125" style="111" customWidth="1"/>
    <col min="25" max="25" width="4.88671875" style="111"/>
    <col min="26" max="26" width="8.44140625" style="111" bestFit="1" customWidth="1"/>
    <col min="27" max="16384" width="4.88671875" style="111"/>
  </cols>
  <sheetData>
    <row r="1" spans="1:24" ht="16.2" hidden="1" customHeight="1" x14ac:dyDescent="0.3">
      <c r="A1" s="110" t="str">
        <f ca="1">MID(CELL("filename",A1),FIND("]",CELL("filename",A1))+1,255)</f>
        <v>HOME</v>
      </c>
      <c r="E1" s="113"/>
      <c r="F1" s="114"/>
      <c r="G1" s="114"/>
      <c r="H1" s="114"/>
      <c r="I1" s="114"/>
      <c r="J1" s="114"/>
      <c r="K1" s="114"/>
      <c r="L1" s="114"/>
      <c r="M1" s="114"/>
      <c r="N1" s="114"/>
      <c r="O1" s="114"/>
      <c r="P1" s="114"/>
      <c r="Q1" s="114"/>
      <c r="R1" s="114"/>
      <c r="S1" s="114"/>
      <c r="T1" s="114"/>
      <c r="U1" s="114"/>
      <c r="V1" s="114"/>
      <c r="W1" s="114"/>
      <c r="X1" s="115"/>
    </row>
    <row r="2" spans="1:24" ht="16.2" customHeight="1" thickTop="1" x14ac:dyDescent="0.3">
      <c r="E2" s="116"/>
      <c r="F2" s="117"/>
      <c r="G2" s="117"/>
      <c r="H2" s="117"/>
      <c r="I2" s="117"/>
      <c r="J2" s="117"/>
      <c r="K2" s="117"/>
      <c r="L2" s="117"/>
      <c r="M2" s="117"/>
      <c r="N2" s="117"/>
      <c r="O2" s="117"/>
      <c r="P2" s="117"/>
      <c r="Q2" s="117"/>
      <c r="R2" s="117"/>
      <c r="S2" s="117"/>
      <c r="T2" s="117"/>
      <c r="U2" s="117"/>
      <c r="V2" s="117"/>
      <c r="W2" s="117"/>
      <c r="X2" s="118"/>
    </row>
    <row r="3" spans="1:24" ht="26.4" customHeight="1" x14ac:dyDescent="0.3">
      <c r="E3" s="119"/>
      <c r="F3" s="120"/>
      <c r="G3" s="120"/>
      <c r="H3" s="120"/>
      <c r="I3" s="120"/>
      <c r="J3" s="120"/>
      <c r="K3" s="120"/>
      <c r="L3" s="120"/>
      <c r="M3" s="120"/>
      <c r="N3" s="120"/>
      <c r="O3" s="120"/>
      <c r="P3" s="120"/>
      <c r="Q3" s="120"/>
      <c r="R3" s="120"/>
      <c r="S3" s="120"/>
      <c r="T3" s="120"/>
      <c r="U3" s="120"/>
      <c r="V3" s="120"/>
      <c r="W3" s="120"/>
      <c r="X3" s="121"/>
    </row>
    <row r="4" spans="1:24" ht="26.4" customHeight="1" x14ac:dyDescent="0.3">
      <c r="E4" s="204"/>
      <c r="F4" s="205"/>
      <c r="G4" s="205"/>
      <c r="H4" s="205"/>
      <c r="I4" s="205"/>
      <c r="J4" s="205"/>
      <c r="K4" s="205"/>
      <c r="L4" s="205"/>
      <c r="M4" s="205"/>
      <c r="N4" s="205"/>
      <c r="O4" s="205"/>
      <c r="P4" s="205"/>
      <c r="Q4" s="205"/>
      <c r="R4" s="205"/>
      <c r="S4" s="205"/>
      <c r="T4" s="205"/>
      <c r="U4" s="205"/>
      <c r="V4" s="205"/>
      <c r="W4" s="205"/>
      <c r="X4" s="206"/>
    </row>
    <row r="5" spans="1:24" ht="26.4" customHeight="1" thickBot="1" x14ac:dyDescent="0.35">
      <c r="E5" s="207"/>
      <c r="F5" s="208"/>
      <c r="G5" s="208"/>
      <c r="H5" s="208"/>
      <c r="I5" s="208"/>
      <c r="J5" s="208"/>
      <c r="K5" s="208"/>
      <c r="L5" s="208"/>
      <c r="M5" s="208"/>
      <c r="N5" s="208"/>
      <c r="O5" s="208"/>
      <c r="P5" s="208"/>
      <c r="Q5" s="208"/>
      <c r="R5" s="208"/>
      <c r="S5" s="208"/>
      <c r="T5" s="208"/>
      <c r="U5" s="208"/>
      <c r="V5" s="208"/>
      <c r="W5" s="208"/>
      <c r="X5" s="209"/>
    </row>
    <row r="6" spans="1:24" ht="16.2" customHeight="1" thickTop="1" x14ac:dyDescent="0.3">
      <c r="E6" s="181" t="str">
        <f>REP.title1</f>
        <v>STEAM FINAL TREND REPORT FOR 2011-2022</v>
      </c>
      <c r="F6" s="182"/>
      <c r="G6" s="182"/>
      <c r="H6" s="182"/>
      <c r="I6" s="182"/>
      <c r="J6" s="182"/>
      <c r="K6" s="182"/>
      <c r="L6" s="182"/>
      <c r="M6" s="309"/>
      <c r="N6" s="825" t="str">
        <f>"All Financial Outputs "&amp;IF(REP.indexed="YES","Indexed","in Historic Prices")&amp;CHAR(10)&amp;IF(REP.indexed="YES","Indexation Years: "&amp;FOCUSYEAR&amp;" (Comparative Headlines) "&amp;CHAR(10)&amp;MAX(REP.yearsrange)&amp;" (all other sections)","")</f>
        <v>All Financial Outputs Indexed
Indexation Years: 2022 (Comparative Headlines) 
2022 (all other sections)</v>
      </c>
      <c r="O6" s="826"/>
      <c r="P6" s="826"/>
      <c r="Q6" s="826"/>
      <c r="R6" s="827"/>
      <c r="S6" s="815" t="s">
        <v>129</v>
      </c>
      <c r="T6" s="815"/>
      <c r="U6" s="815"/>
      <c r="V6" s="815"/>
      <c r="W6" s="815"/>
      <c r="X6" s="816"/>
    </row>
    <row r="7" spans="1:24" ht="16.2" customHeight="1" thickBot="1" x14ac:dyDescent="0.35">
      <c r="E7" s="310" t="str">
        <f>REP.title2</f>
        <v>GWYNEDD COUNCIL</v>
      </c>
      <c r="F7" s="182"/>
      <c r="G7" s="182"/>
      <c r="H7" s="182"/>
      <c r="I7" s="311"/>
      <c r="J7" s="311"/>
      <c r="K7" s="311"/>
      <c r="L7" s="182"/>
      <c r="M7" s="312"/>
      <c r="N7" s="828"/>
      <c r="O7" s="829"/>
      <c r="P7" s="829"/>
      <c r="Q7" s="829"/>
      <c r="R7" s="830"/>
      <c r="S7" s="817"/>
      <c r="T7" s="817"/>
      <c r="U7" s="817"/>
      <c r="V7" s="817"/>
      <c r="W7" s="817"/>
      <c r="X7" s="818"/>
    </row>
    <row r="8" spans="1:24" ht="16.2" customHeight="1" thickTop="1" thickBot="1" x14ac:dyDescent="0.35">
      <c r="E8" s="812" t="s">
        <v>127</v>
      </c>
      <c r="F8" s="813"/>
      <c r="G8" s="813"/>
      <c r="H8" s="813"/>
      <c r="I8" s="813"/>
      <c r="J8" s="813"/>
      <c r="K8" s="813"/>
      <c r="L8" s="813"/>
      <c r="M8" s="813"/>
      <c r="N8" s="813"/>
      <c r="O8" s="813"/>
      <c r="P8" s="813"/>
      <c r="Q8" s="813"/>
      <c r="R8" s="813"/>
      <c r="S8" s="813"/>
      <c r="T8" s="813"/>
      <c r="U8" s="813"/>
      <c r="V8" s="813"/>
      <c r="W8" s="813"/>
      <c r="X8" s="814"/>
    </row>
    <row r="9" spans="1:24" ht="16.2" customHeight="1" thickTop="1" x14ac:dyDescent="0.3">
      <c r="E9" s="822" t="s">
        <v>126</v>
      </c>
      <c r="F9" s="823"/>
      <c r="G9" s="823"/>
      <c r="H9" s="823"/>
      <c r="I9" s="823"/>
      <c r="J9" s="823"/>
      <c r="K9" s="823"/>
      <c r="L9" s="823"/>
      <c r="M9" s="823"/>
      <c r="N9" s="823"/>
      <c r="O9" s="823"/>
      <c r="P9" s="823"/>
      <c r="Q9" s="823"/>
      <c r="R9" s="823"/>
      <c r="S9" s="823"/>
      <c r="T9" s="823"/>
      <c r="U9" s="823"/>
      <c r="V9" s="823"/>
      <c r="W9" s="823"/>
      <c r="X9" s="824"/>
    </row>
    <row r="10" spans="1:24" s="125" customFormat="1" ht="16.2" customHeight="1" x14ac:dyDescent="0.3">
      <c r="E10" s="313"/>
      <c r="F10" s="314"/>
      <c r="G10" s="315"/>
      <c r="H10" s="315"/>
      <c r="I10" s="315"/>
      <c r="J10" s="315"/>
      <c r="K10" s="315"/>
      <c r="L10" s="315"/>
      <c r="M10" s="315"/>
      <c r="N10" s="315"/>
      <c r="O10" s="315"/>
      <c r="P10" s="316"/>
      <c r="Q10" s="316"/>
      <c r="R10" s="316"/>
      <c r="S10" s="314"/>
      <c r="T10" s="314"/>
      <c r="U10" s="314"/>
      <c r="V10" s="316"/>
      <c r="W10" s="316"/>
      <c r="X10" s="317"/>
    </row>
    <row r="11" spans="1:24" s="125" customFormat="1" ht="16.2" customHeight="1" x14ac:dyDescent="0.3">
      <c r="E11" s="310"/>
      <c r="F11" s="311"/>
      <c r="G11" s="311"/>
      <c r="H11" s="311"/>
      <c r="I11" s="311"/>
      <c r="J11" s="311"/>
      <c r="K11" s="311"/>
      <c r="L11" s="311"/>
      <c r="M11" s="316"/>
      <c r="N11" s="316"/>
      <c r="O11" s="316"/>
      <c r="P11" s="316"/>
      <c r="Q11" s="316"/>
      <c r="R11" s="316"/>
      <c r="S11" s="314"/>
      <c r="T11" s="314"/>
      <c r="U11" s="314"/>
      <c r="V11" s="316"/>
      <c r="W11" s="316"/>
      <c r="X11" s="317"/>
    </row>
    <row r="12" spans="1:24" s="125" customFormat="1" ht="16.2" customHeight="1" x14ac:dyDescent="0.3">
      <c r="E12" s="310"/>
      <c r="F12" s="311"/>
      <c r="G12" s="311"/>
      <c r="H12" s="311"/>
      <c r="I12" s="311"/>
      <c r="J12" s="311"/>
      <c r="K12" s="311"/>
      <c r="L12" s="311"/>
      <c r="M12" s="316"/>
      <c r="N12" s="316"/>
      <c r="O12" s="316"/>
      <c r="P12" s="316"/>
      <c r="Q12" s="316"/>
      <c r="R12" s="316"/>
      <c r="S12" s="314"/>
      <c r="T12" s="314"/>
      <c r="U12" s="314"/>
      <c r="V12" s="316"/>
      <c r="W12" s="316"/>
      <c r="X12" s="317"/>
    </row>
    <row r="13" spans="1:24" ht="16.2" customHeight="1" x14ac:dyDescent="0.3">
      <c r="E13" s="298"/>
      <c r="F13" s="182"/>
      <c r="G13" s="318"/>
      <c r="H13" s="318"/>
      <c r="I13" s="319"/>
      <c r="J13" s="318"/>
      <c r="K13" s="318"/>
      <c r="L13" s="319"/>
      <c r="M13" s="318"/>
      <c r="N13" s="318"/>
      <c r="O13" s="319"/>
      <c r="P13" s="318"/>
      <c r="Q13" s="318"/>
      <c r="R13" s="319"/>
      <c r="S13" s="318"/>
      <c r="T13" s="318"/>
      <c r="U13" s="319"/>
      <c r="V13" s="318"/>
      <c r="W13" s="318"/>
      <c r="X13" s="320"/>
    </row>
    <row r="14" spans="1:24" ht="16.2" customHeight="1" x14ac:dyDescent="0.3">
      <c r="E14" s="321"/>
      <c r="F14" s="322"/>
      <c r="G14" s="323"/>
      <c r="H14" s="323"/>
      <c r="I14" s="324"/>
      <c r="J14" s="323"/>
      <c r="K14" s="323"/>
      <c r="L14" s="324"/>
      <c r="M14" s="323"/>
      <c r="N14" s="323"/>
      <c r="O14" s="324"/>
      <c r="P14" s="323"/>
      <c r="Q14" s="323"/>
      <c r="R14" s="324"/>
      <c r="S14" s="323"/>
      <c r="T14" s="323"/>
      <c r="U14" s="324"/>
      <c r="V14" s="323"/>
      <c r="W14" s="323"/>
      <c r="X14" s="325"/>
    </row>
    <row r="15" spans="1:24" ht="16.2" customHeight="1" x14ac:dyDescent="0.3">
      <c r="E15" s="321"/>
      <c r="F15" s="322"/>
      <c r="G15" s="323"/>
      <c r="H15" s="323"/>
      <c r="I15" s="324"/>
      <c r="J15" s="323"/>
      <c r="K15" s="323"/>
      <c r="L15" s="324"/>
      <c r="M15" s="323"/>
      <c r="N15" s="323"/>
      <c r="O15" s="324"/>
      <c r="P15" s="323"/>
      <c r="Q15" s="323"/>
      <c r="R15" s="324"/>
      <c r="S15" s="323"/>
      <c r="T15" s="323"/>
      <c r="U15" s="324"/>
      <c r="V15" s="323"/>
      <c r="W15" s="323"/>
      <c r="X15" s="325"/>
    </row>
    <row r="16" spans="1:24" ht="16.2" customHeight="1" x14ac:dyDescent="0.3">
      <c r="E16" s="321"/>
      <c r="F16" s="322"/>
      <c r="G16" s="323"/>
      <c r="H16" s="323"/>
      <c r="I16" s="324"/>
      <c r="J16" s="323"/>
      <c r="K16" s="323"/>
      <c r="L16" s="324"/>
      <c r="M16" s="323"/>
      <c r="N16" s="323"/>
      <c r="O16" s="324"/>
      <c r="P16" s="323"/>
      <c r="Q16" s="323"/>
      <c r="R16" s="324"/>
      <c r="S16" s="323"/>
      <c r="T16" s="323"/>
      <c r="U16" s="324"/>
      <c r="V16" s="326"/>
      <c r="W16" s="326"/>
      <c r="X16" s="325"/>
    </row>
    <row r="17" spans="5:24" ht="16.2" customHeight="1" x14ac:dyDescent="0.3">
      <c r="E17" s="321"/>
      <c r="F17" s="322"/>
      <c r="G17" s="326"/>
      <c r="H17" s="326"/>
      <c r="I17" s="324"/>
      <c r="J17" s="326"/>
      <c r="K17" s="326"/>
      <c r="L17" s="324"/>
      <c r="M17" s="326"/>
      <c r="N17" s="326"/>
      <c r="O17" s="324"/>
      <c r="P17" s="326"/>
      <c r="Q17" s="326"/>
      <c r="R17" s="324"/>
      <c r="S17" s="326"/>
      <c r="T17" s="326"/>
      <c r="U17" s="324"/>
      <c r="V17" s="326"/>
      <c r="W17" s="326"/>
      <c r="X17" s="325"/>
    </row>
    <row r="18" spans="5:24" ht="16.2" customHeight="1" x14ac:dyDescent="0.3">
      <c r="E18" s="327"/>
      <c r="F18" s="322"/>
      <c r="G18" s="328"/>
      <c r="H18" s="323"/>
      <c r="I18" s="324"/>
      <c r="J18" s="328"/>
      <c r="K18" s="323"/>
      <c r="L18" s="324"/>
      <c r="M18" s="328"/>
      <c r="N18" s="323"/>
      <c r="O18" s="324"/>
      <c r="P18" s="323"/>
      <c r="Q18" s="323"/>
      <c r="R18" s="324"/>
      <c r="S18" s="328"/>
      <c r="T18" s="323"/>
      <c r="U18" s="324"/>
      <c r="V18" s="328"/>
      <c r="W18" s="323"/>
      <c r="X18" s="325"/>
    </row>
    <row r="19" spans="5:24" ht="16.2" customHeight="1" x14ac:dyDescent="0.3">
      <c r="E19" s="327"/>
      <c r="F19" s="322"/>
      <c r="G19" s="323"/>
      <c r="H19" s="323"/>
      <c r="I19" s="324"/>
      <c r="J19" s="323"/>
      <c r="K19" s="323"/>
      <c r="L19" s="324"/>
      <c r="M19" s="323"/>
      <c r="N19" s="323"/>
      <c r="O19" s="324"/>
      <c r="P19" s="323"/>
      <c r="Q19" s="323"/>
      <c r="R19" s="324"/>
      <c r="S19" s="323"/>
      <c r="T19" s="323"/>
      <c r="U19" s="324"/>
      <c r="V19" s="328"/>
      <c r="W19" s="323"/>
      <c r="X19" s="325"/>
    </row>
    <row r="20" spans="5:24" ht="16.2" customHeight="1" x14ac:dyDescent="0.3">
      <c r="E20" s="329"/>
      <c r="F20" s="330"/>
      <c r="G20" s="330"/>
      <c r="H20" s="330"/>
      <c r="I20" s="330"/>
      <c r="J20" s="330"/>
      <c r="K20" s="330"/>
      <c r="L20" s="330"/>
      <c r="M20" s="330"/>
      <c r="N20" s="330"/>
      <c r="O20" s="330"/>
      <c r="P20" s="330"/>
      <c r="Q20" s="330"/>
      <c r="R20" s="330"/>
      <c r="S20" s="330"/>
      <c r="T20" s="330"/>
      <c r="U20" s="330"/>
      <c r="V20" s="330"/>
      <c r="W20" s="330"/>
      <c r="X20" s="331"/>
    </row>
    <row r="21" spans="5:24" ht="16.2" customHeight="1" x14ac:dyDescent="0.3">
      <c r="E21" s="819" t="s">
        <v>128</v>
      </c>
      <c r="F21" s="820"/>
      <c r="G21" s="820"/>
      <c r="H21" s="820"/>
      <c r="I21" s="820"/>
      <c r="J21" s="820"/>
      <c r="K21" s="820"/>
      <c r="L21" s="820"/>
      <c r="M21" s="820"/>
      <c r="N21" s="820"/>
      <c r="O21" s="820"/>
      <c r="P21" s="820"/>
      <c r="Q21" s="820"/>
      <c r="R21" s="820"/>
      <c r="S21" s="820"/>
      <c r="T21" s="820"/>
      <c r="U21" s="820"/>
      <c r="V21" s="820"/>
      <c r="W21" s="820"/>
      <c r="X21" s="821"/>
    </row>
    <row r="22" spans="5:24" ht="16.2" customHeight="1" x14ac:dyDescent="0.3">
      <c r="E22" s="332"/>
      <c r="F22" s="333"/>
      <c r="G22" s="120"/>
      <c r="H22" s="120"/>
      <c r="I22" s="120"/>
      <c r="J22" s="120"/>
      <c r="K22" s="120"/>
      <c r="L22" s="120"/>
      <c r="M22" s="120"/>
      <c r="N22" s="120"/>
      <c r="O22" s="120"/>
      <c r="P22" s="120"/>
      <c r="Q22" s="120"/>
      <c r="R22" s="120"/>
      <c r="S22" s="120"/>
      <c r="T22" s="120"/>
      <c r="U22" s="120"/>
      <c r="V22" s="120"/>
      <c r="W22" s="120"/>
      <c r="X22" s="121"/>
    </row>
    <row r="23" spans="5:24" ht="16.2" customHeight="1" x14ac:dyDescent="0.3">
      <c r="E23" s="332"/>
      <c r="F23" s="333"/>
      <c r="G23" s="120"/>
      <c r="H23" s="120"/>
      <c r="I23" s="120"/>
      <c r="J23" s="120"/>
      <c r="K23" s="120"/>
      <c r="L23" s="120"/>
      <c r="M23" s="120"/>
      <c r="N23" s="120"/>
      <c r="O23" s="120"/>
      <c r="P23" s="120"/>
      <c r="Q23" s="120"/>
      <c r="R23" s="120"/>
      <c r="S23" s="120"/>
      <c r="T23" s="120"/>
      <c r="U23" s="120"/>
      <c r="V23" s="120"/>
      <c r="W23" s="120"/>
      <c r="X23" s="121"/>
    </row>
    <row r="24" spans="5:24" ht="16.2" customHeight="1" x14ac:dyDescent="0.3">
      <c r="E24" s="332"/>
      <c r="F24" s="333"/>
      <c r="G24" s="120"/>
      <c r="H24" s="120"/>
      <c r="I24" s="120"/>
      <c r="J24" s="120"/>
      <c r="K24" s="120"/>
      <c r="L24" s="120"/>
      <c r="M24" s="120"/>
      <c r="N24" s="120"/>
      <c r="O24" s="120"/>
      <c r="P24" s="120"/>
      <c r="Q24" s="120"/>
      <c r="R24" s="120"/>
      <c r="S24" s="120"/>
      <c r="T24" s="120"/>
      <c r="U24" s="120"/>
      <c r="V24" s="120"/>
      <c r="W24" s="120"/>
      <c r="X24" s="121"/>
    </row>
    <row r="25" spans="5:24" ht="16.2" customHeight="1" x14ac:dyDescent="0.3">
      <c r="E25" s="332"/>
      <c r="F25" s="333"/>
      <c r="G25" s="120"/>
      <c r="H25" s="120"/>
      <c r="I25" s="120"/>
      <c r="J25" s="120"/>
      <c r="K25" s="120"/>
      <c r="L25" s="120"/>
      <c r="M25" s="120"/>
      <c r="N25" s="120"/>
      <c r="O25" s="120"/>
      <c r="P25" s="120"/>
      <c r="Q25" s="120"/>
      <c r="R25" s="120"/>
      <c r="S25" s="120"/>
      <c r="T25" s="120"/>
      <c r="U25" s="120"/>
      <c r="V25" s="120"/>
      <c r="W25" s="120"/>
      <c r="X25" s="121"/>
    </row>
    <row r="26" spans="5:24" ht="16.2" customHeight="1" x14ac:dyDescent="0.3">
      <c r="E26" s="334"/>
      <c r="F26" s="335"/>
      <c r="G26" s="120"/>
      <c r="H26" s="120"/>
      <c r="I26" s="120"/>
      <c r="J26" s="120"/>
      <c r="K26" s="120"/>
      <c r="L26" s="120"/>
      <c r="M26" s="120"/>
      <c r="N26" s="120"/>
      <c r="O26" s="120"/>
      <c r="P26" s="120"/>
      <c r="Q26" s="120"/>
      <c r="R26" s="120"/>
      <c r="S26" s="120"/>
      <c r="T26" s="120"/>
      <c r="U26" s="120"/>
      <c r="V26" s="120"/>
      <c r="W26" s="120"/>
      <c r="X26" s="121"/>
    </row>
    <row r="27" spans="5:24" ht="16.2" customHeight="1" x14ac:dyDescent="0.3">
      <c r="E27" s="332"/>
      <c r="F27" s="333"/>
      <c r="G27" s="333"/>
      <c r="H27" s="333"/>
      <c r="I27" s="333"/>
      <c r="J27" s="333"/>
      <c r="K27" s="333"/>
      <c r="L27" s="333"/>
      <c r="M27" s="333"/>
      <c r="N27" s="333"/>
      <c r="O27" s="333"/>
      <c r="P27" s="335"/>
      <c r="Q27" s="335"/>
      <c r="R27" s="335"/>
      <c r="S27" s="335"/>
      <c r="T27" s="335"/>
      <c r="U27" s="335"/>
      <c r="V27" s="335"/>
      <c r="W27" s="335"/>
      <c r="X27" s="336"/>
    </row>
    <row r="28" spans="5:24" ht="16.2" customHeight="1" x14ac:dyDescent="0.3">
      <c r="E28" s="119"/>
      <c r="F28" s="120"/>
      <c r="G28" s="120"/>
      <c r="H28" s="120"/>
      <c r="I28" s="120"/>
      <c r="J28" s="337"/>
      <c r="K28" s="337"/>
      <c r="L28" s="338"/>
      <c r="M28" s="333"/>
      <c r="N28" s="333"/>
      <c r="O28" s="333"/>
      <c r="P28" s="337"/>
      <c r="Q28" s="337"/>
      <c r="R28" s="338"/>
      <c r="S28" s="120"/>
      <c r="T28" s="120"/>
      <c r="U28" s="120"/>
      <c r="V28" s="120"/>
      <c r="W28" s="120"/>
      <c r="X28" s="121"/>
    </row>
    <row r="29" spans="5:24" ht="16.2" customHeight="1" x14ac:dyDescent="0.3">
      <c r="E29" s="119"/>
      <c r="F29" s="120"/>
      <c r="G29" s="120"/>
      <c r="H29" s="120"/>
      <c r="I29" s="120"/>
      <c r="J29" s="339"/>
      <c r="K29" s="339"/>
      <c r="L29" s="340"/>
      <c r="M29" s="120"/>
      <c r="N29" s="120"/>
      <c r="O29" s="120"/>
      <c r="P29" s="341"/>
      <c r="Q29" s="341"/>
      <c r="R29" s="340"/>
      <c r="S29" s="120"/>
      <c r="T29" s="120"/>
      <c r="U29" s="120"/>
      <c r="V29" s="120"/>
      <c r="W29" s="120"/>
      <c r="X29" s="121"/>
    </row>
    <row r="30" spans="5:24" ht="16.2" customHeight="1" x14ac:dyDescent="0.3">
      <c r="E30" s="119"/>
      <c r="F30" s="120"/>
      <c r="G30" s="120"/>
      <c r="H30" s="120"/>
      <c r="I30" s="120"/>
      <c r="J30" s="339"/>
      <c r="K30" s="339"/>
      <c r="L30" s="340"/>
      <c r="M30" s="120"/>
      <c r="N30" s="120"/>
      <c r="O30" s="120"/>
      <c r="P30" s="341"/>
      <c r="Q30" s="341"/>
      <c r="R30" s="340"/>
      <c r="S30" s="120"/>
      <c r="T30" s="120"/>
      <c r="U30" s="120"/>
      <c r="V30" s="120"/>
      <c r="W30" s="120"/>
      <c r="X30" s="121"/>
    </row>
    <row r="31" spans="5:24" ht="16.2" customHeight="1" x14ac:dyDescent="0.3">
      <c r="E31" s="119"/>
      <c r="F31" s="120"/>
      <c r="G31" s="120"/>
      <c r="H31" s="120"/>
      <c r="I31" s="120"/>
      <c r="J31" s="339"/>
      <c r="K31" s="339"/>
      <c r="L31" s="340"/>
      <c r="M31" s="120"/>
      <c r="N31" s="120"/>
      <c r="O31" s="120"/>
      <c r="P31" s="341"/>
      <c r="Q31" s="341"/>
      <c r="R31" s="340"/>
      <c r="S31" s="120"/>
      <c r="T31" s="120"/>
      <c r="U31" s="120"/>
      <c r="V31" s="120"/>
      <c r="W31" s="120"/>
      <c r="X31" s="121"/>
    </row>
    <row r="32" spans="5:24" ht="16.2" customHeight="1" x14ac:dyDescent="0.3">
      <c r="E32" s="119"/>
      <c r="F32" s="120"/>
      <c r="G32" s="120"/>
      <c r="H32" s="120"/>
      <c r="I32" s="120"/>
      <c r="J32" s="339"/>
      <c r="K32" s="339"/>
      <c r="L32" s="340"/>
      <c r="M32" s="120"/>
      <c r="N32" s="120"/>
      <c r="O32" s="120"/>
      <c r="P32" s="341"/>
      <c r="Q32" s="341"/>
      <c r="R32" s="340"/>
      <c r="S32" s="120"/>
      <c r="T32" s="120"/>
      <c r="U32" s="120"/>
      <c r="V32" s="120"/>
      <c r="W32" s="120"/>
      <c r="X32" s="121"/>
    </row>
    <row r="33" spans="4:24" ht="16.2" customHeight="1" x14ac:dyDescent="0.3">
      <c r="E33" s="819" t="s">
        <v>130</v>
      </c>
      <c r="F33" s="820"/>
      <c r="G33" s="820"/>
      <c r="H33" s="820"/>
      <c r="I33" s="820"/>
      <c r="J33" s="820"/>
      <c r="K33" s="821"/>
      <c r="L33" s="819" t="s">
        <v>131</v>
      </c>
      <c r="M33" s="820"/>
      <c r="N33" s="820"/>
      <c r="O33" s="820"/>
      <c r="P33" s="820"/>
      <c r="Q33" s="820"/>
      <c r="R33" s="820"/>
      <c r="S33" s="821"/>
      <c r="T33" s="819" t="s">
        <v>133</v>
      </c>
      <c r="U33" s="820"/>
      <c r="V33" s="820"/>
      <c r="W33" s="820"/>
      <c r="X33" s="821"/>
    </row>
    <row r="34" spans="4:24" ht="16.2" customHeight="1" x14ac:dyDescent="0.3">
      <c r="E34" s="342"/>
      <c r="F34" s="343"/>
      <c r="G34" s="343"/>
      <c r="H34" s="343"/>
      <c r="I34" s="343"/>
      <c r="J34" s="344"/>
      <c r="K34" s="344"/>
      <c r="L34" s="345"/>
      <c r="M34" s="346"/>
      <c r="N34" s="346"/>
      <c r="O34" s="346"/>
      <c r="P34" s="347"/>
      <c r="Q34" s="347"/>
      <c r="R34" s="345"/>
      <c r="S34" s="343"/>
      <c r="T34" s="343"/>
      <c r="U34" s="343"/>
      <c r="V34" s="343"/>
      <c r="W34" s="343"/>
      <c r="X34" s="348"/>
    </row>
    <row r="35" spans="4:24" ht="16.2" customHeight="1" x14ac:dyDescent="0.3">
      <c r="E35" s="342"/>
      <c r="F35" s="343"/>
      <c r="G35" s="343"/>
      <c r="H35" s="343"/>
      <c r="I35" s="343"/>
      <c r="J35" s="349"/>
      <c r="K35" s="349"/>
      <c r="L35" s="350"/>
      <c r="M35" s="343"/>
      <c r="N35" s="343"/>
      <c r="O35" s="343"/>
      <c r="P35" s="351"/>
      <c r="Q35" s="351"/>
      <c r="R35" s="350"/>
      <c r="S35" s="343"/>
      <c r="T35" s="343"/>
      <c r="U35" s="343"/>
      <c r="V35" s="343"/>
      <c r="W35" s="343"/>
      <c r="X35" s="348"/>
    </row>
    <row r="36" spans="4:24" ht="16.2" customHeight="1" thickBot="1" x14ac:dyDescent="0.35">
      <c r="E36" s="352"/>
      <c r="F36" s="353"/>
      <c r="G36" s="353"/>
      <c r="H36" s="353"/>
      <c r="I36" s="353"/>
      <c r="J36" s="354"/>
      <c r="K36" s="354"/>
      <c r="L36" s="355"/>
      <c r="M36" s="356"/>
      <c r="N36" s="356"/>
      <c r="O36" s="356"/>
      <c r="P36" s="357"/>
      <c r="Q36" s="357"/>
      <c r="R36" s="355"/>
      <c r="S36" s="353"/>
      <c r="T36" s="353"/>
      <c r="U36" s="353"/>
      <c r="V36" s="353"/>
      <c r="W36" s="353"/>
      <c r="X36" s="358"/>
    </row>
    <row r="37" spans="4:24" s="174" customFormat="1" ht="16.2" customHeight="1" thickTop="1" thickBot="1" x14ac:dyDescent="0.2">
      <c r="D37" s="170"/>
      <c r="E37" s="171" t="str">
        <f>REP.footer1</f>
        <v>This report is copyright © Global Tourism Solutions (UK) Ltd 2023</v>
      </c>
      <c r="F37" s="172"/>
      <c r="G37" s="172"/>
      <c r="H37" s="172"/>
      <c r="I37" s="172"/>
      <c r="J37" s="172"/>
      <c r="K37" s="172"/>
      <c r="L37" s="172"/>
      <c r="M37" s="172"/>
      <c r="N37" s="172"/>
      <c r="O37" s="172"/>
      <c r="P37" s="172"/>
      <c r="Q37" s="172"/>
      <c r="R37" s="172"/>
      <c r="S37" s="172"/>
      <c r="T37" s="172"/>
      <c r="U37" s="172"/>
      <c r="V37" s="172"/>
      <c r="W37" s="172"/>
      <c r="X37" s="173" t="str">
        <f>REP.footer2</f>
        <v>Report Prepared by: Cathy James. Date of Issue: 14/08/23</v>
      </c>
    </row>
    <row r="38" spans="4:24" ht="16.2" customHeight="1" thickTop="1" x14ac:dyDescent="0.3"/>
    <row r="69" spans="7:23" ht="16.2" customHeight="1" x14ac:dyDescent="0.3">
      <c r="G69" s="111" t="s">
        <v>43</v>
      </c>
      <c r="H69" s="111" t="s">
        <v>43</v>
      </c>
      <c r="J69" s="111" t="s">
        <v>48</v>
      </c>
      <c r="K69" s="111" t="s">
        <v>48</v>
      </c>
      <c r="M69" s="111" t="s">
        <v>18</v>
      </c>
      <c r="N69" s="111" t="s">
        <v>18</v>
      </c>
      <c r="P69" s="111" t="s">
        <v>95</v>
      </c>
      <c r="S69" s="111" t="s">
        <v>71</v>
      </c>
      <c r="T69" s="111" t="s">
        <v>71</v>
      </c>
      <c r="V69" s="111" t="s">
        <v>54</v>
      </c>
      <c r="W69" s="111" t="s">
        <v>54</v>
      </c>
    </row>
  </sheetData>
  <sheetProtection algorithmName="SHA-512" hashValue="pCWIrxGFsNQnywcBdv2tVWlpszzusTTzmkUxRMilxv1h2v1LrgAHJIKfQXAfrkGPcs9Y3hVX47b1+kZ9+RCQgg==" saltValue="jSzBVuS4uuYe7wDk4XMw8Q==" spinCount="100000" sheet="1" objects="1" scenarios="1"/>
  <mergeCells count="8">
    <mergeCell ref="E8:X8"/>
    <mergeCell ref="S6:X7"/>
    <mergeCell ref="E33:K33"/>
    <mergeCell ref="E9:X9"/>
    <mergeCell ref="L33:S33"/>
    <mergeCell ref="T33:X33"/>
    <mergeCell ref="E21:X21"/>
    <mergeCell ref="N6:R7"/>
  </mergeCells>
  <conditionalFormatting sqref="I14:I19 L14:L19 O14:O19 R14:R19 U14:U19 X14:X19 L29:L32 R29:R32 L34:L36 R34:R36">
    <cfRule type="cellIs" dxfId="189" priority="1" operator="greaterThanOrEqual">
      <formula>REP.percenthighlight</formula>
    </cfRule>
    <cfRule type="cellIs" dxfId="188" priority="2" operator="lessThanOrEqual">
      <formula>-REP.percenthighlight</formula>
    </cfRule>
  </conditionalFormatting>
  <printOptions horizontalCentered="1" verticalCentered="1"/>
  <pageMargins left="0.70866141732283472" right="0.70866141732283472" top="0.74803149606299213" bottom="0.74803149606299213" header="0.31496062992125984" footer="0.31496062992125984"/>
  <pageSetup paperSize="9" scale="98"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125953" r:id="rId4" name="Drop Down 1">
              <controlPr defaultSize="0" autoLine="0" autoPict="0">
                <anchor moveWithCells="1">
                  <from>
                    <xdr:col>21</xdr:col>
                    <xdr:colOff>182880</xdr:colOff>
                    <xdr:row>4</xdr:row>
                    <xdr:rowOff>22860</xdr:rowOff>
                  </from>
                  <to>
                    <xdr:col>22</xdr:col>
                    <xdr:colOff>266700</xdr:colOff>
                    <xdr:row>4</xdr:row>
                    <xdr:rowOff>297180</xdr:rowOff>
                  </to>
                </anchor>
              </controlPr>
            </control>
          </mc:Choice>
        </mc:AlternateContent>
        <mc:AlternateContent xmlns:mc="http://schemas.openxmlformats.org/markup-compatibility/2006">
          <mc:Choice Requires="x14">
            <control shapeId="125954" r:id="rId5" name="Drop Down 2">
              <controlPr defaultSize="0" autoLine="0" autoPict="0">
                <anchor moveWithCells="1">
                  <from>
                    <xdr:col>6</xdr:col>
                    <xdr:colOff>419100</xdr:colOff>
                    <xdr:row>4</xdr:row>
                    <xdr:rowOff>22860</xdr:rowOff>
                  </from>
                  <to>
                    <xdr:col>8</xdr:col>
                    <xdr:colOff>137160</xdr:colOff>
                    <xdr:row>4</xdr:row>
                    <xdr:rowOff>297180</xdr:rowOff>
                  </to>
                </anchor>
              </controlPr>
            </control>
          </mc:Choice>
        </mc:AlternateContent>
        <mc:AlternateContent xmlns:mc="http://schemas.openxmlformats.org/markup-compatibility/2006">
          <mc:Choice Requires="x14">
            <control shapeId="125955" r:id="rId6" name="Drop Down 3">
              <controlPr defaultSize="0" autoLine="0" autoPict="0">
                <anchor moveWithCells="1">
                  <from>
                    <xdr:col>16</xdr:col>
                    <xdr:colOff>76200</xdr:colOff>
                    <xdr:row>4</xdr:row>
                    <xdr:rowOff>22860</xdr:rowOff>
                  </from>
                  <to>
                    <xdr:col>17</xdr:col>
                    <xdr:colOff>297180</xdr:colOff>
                    <xdr:row>4</xdr:row>
                    <xdr:rowOff>297180</xdr:rowOff>
                  </to>
                </anchor>
              </controlPr>
            </control>
          </mc:Choice>
        </mc:AlternateContent>
        <mc:AlternateContent xmlns:mc="http://schemas.openxmlformats.org/markup-compatibility/2006">
          <mc:Choice Requires="x14">
            <control shapeId="125956" r:id="rId7" name="Drop Down 4">
              <controlPr defaultSize="0" autoLine="0" autoPict="0">
                <anchor moveWithCells="1">
                  <from>
                    <xdr:col>4</xdr:col>
                    <xdr:colOff>601980</xdr:colOff>
                    <xdr:row>4</xdr:row>
                    <xdr:rowOff>22860</xdr:rowOff>
                  </from>
                  <to>
                    <xdr:col>4</xdr:col>
                    <xdr:colOff>1318260</xdr:colOff>
                    <xdr:row>4</xdr:row>
                    <xdr:rowOff>297180</xdr:rowOff>
                  </to>
                </anchor>
              </controlPr>
            </control>
          </mc:Choice>
        </mc:AlternateContent>
        <mc:AlternateContent xmlns:mc="http://schemas.openxmlformats.org/markup-compatibility/2006">
          <mc:Choice Requires="x14">
            <control shapeId="126009" r:id="rId8" name="Drop Down 57">
              <controlPr defaultSize="0" autoLine="0" autoPict="0">
                <anchor moveWithCells="1">
                  <from>
                    <xdr:col>9</xdr:col>
                    <xdr:colOff>175260</xdr:colOff>
                    <xdr:row>4</xdr:row>
                    <xdr:rowOff>22860</xdr:rowOff>
                  </from>
                  <to>
                    <xdr:col>13</xdr:col>
                    <xdr:colOff>152400</xdr:colOff>
                    <xdr:row>4</xdr:row>
                    <xdr:rowOff>297180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Client04">
    <tabColor rgb="FF00B0F0"/>
    <outlinePr showOutlineSymbols="0"/>
    <pageSetUpPr autoPageBreaks="0" fitToPage="1"/>
  </sheetPr>
  <dimension ref="A1:Z70"/>
  <sheetViews>
    <sheetView showGridLines="0" showRowColHeaders="0" showZeros="0" showOutlineSymbols="0" topLeftCell="A2" zoomScaleNormal="100" workbookViewId="0">
      <pane ySplit="6" topLeftCell="A26" activePane="bottomLeft" state="frozen"/>
      <selection activeCell="M48" sqref="M48"/>
      <selection pane="bottomLeft" activeCell="S40" sqref="S40"/>
    </sheetView>
  </sheetViews>
  <sheetFormatPr defaultColWidth="4.88671875" defaultRowHeight="16.2" customHeight="1" x14ac:dyDescent="0.3"/>
  <cols>
    <col min="1" max="3" width="4.88671875" style="111"/>
    <col min="4" max="4" width="4.88671875" style="112"/>
    <col min="5" max="5" width="19.5546875" style="111" customWidth="1"/>
    <col min="6" max="6" width="5.109375" style="111" customWidth="1"/>
    <col min="7" max="24" width="7.33203125" style="111" customWidth="1"/>
    <col min="25" max="25" width="7.109375" style="111" bestFit="1" customWidth="1"/>
    <col min="26" max="26" width="8.44140625" style="111" bestFit="1" customWidth="1"/>
    <col min="27" max="16384" width="4.88671875" style="111"/>
  </cols>
  <sheetData>
    <row r="1" spans="1:26" ht="16.2" hidden="1" customHeight="1" thickTop="1" thickBot="1" x14ac:dyDescent="0.35">
      <c r="A1" s="110" t="str">
        <f ca="1">MID(CELL("filename",A1),FIND("]",CELL("filename",A1))+1,255)</f>
        <v>USER GUIDE</v>
      </c>
      <c r="E1" s="113"/>
      <c r="F1" s="114"/>
      <c r="G1" s="114"/>
      <c r="H1" s="114"/>
      <c r="I1" s="114"/>
      <c r="J1" s="114"/>
      <c r="K1" s="114"/>
      <c r="L1" s="114"/>
      <c r="M1" s="114"/>
      <c r="N1" s="114"/>
      <c r="O1" s="114"/>
      <c r="P1" s="114"/>
      <c r="Q1" s="114"/>
      <c r="R1" s="114"/>
      <c r="S1" s="114"/>
      <c r="T1" s="114"/>
      <c r="U1" s="114"/>
      <c r="V1" s="114"/>
      <c r="W1" s="114"/>
      <c r="X1" s="115"/>
    </row>
    <row r="2" spans="1:26" ht="16.2" customHeight="1" thickTop="1" x14ac:dyDescent="0.3">
      <c r="E2" s="116"/>
      <c r="F2" s="117"/>
      <c r="G2" s="117"/>
      <c r="H2" s="117"/>
      <c r="I2" s="117"/>
      <c r="J2" s="117"/>
      <c r="K2" s="117"/>
      <c r="L2" s="117"/>
      <c r="M2" s="117"/>
      <c r="N2" s="117"/>
      <c r="O2" s="117"/>
      <c r="P2" s="117"/>
      <c r="Q2" s="117"/>
      <c r="R2" s="117"/>
      <c r="S2" s="117"/>
      <c r="T2" s="117"/>
      <c r="U2" s="117"/>
      <c r="V2" s="117"/>
      <c r="W2" s="117"/>
      <c r="X2" s="118"/>
    </row>
    <row r="3" spans="1:26" ht="26.4" customHeight="1" x14ac:dyDescent="0.3">
      <c r="E3" s="119"/>
      <c r="F3" s="120"/>
      <c r="G3" s="120"/>
      <c r="H3" s="120"/>
      <c r="I3" s="120"/>
      <c r="J3" s="120"/>
      <c r="K3" s="120"/>
      <c r="L3" s="120"/>
      <c r="M3" s="120"/>
      <c r="N3" s="120"/>
      <c r="O3" s="120"/>
      <c r="P3" s="120"/>
      <c r="Q3" s="120"/>
      <c r="R3" s="120"/>
      <c r="S3" s="120"/>
      <c r="T3" s="120"/>
      <c r="U3" s="120"/>
      <c r="V3" s="120"/>
      <c r="W3" s="120"/>
      <c r="X3" s="121"/>
    </row>
    <row r="4" spans="1:26" ht="26.4" customHeight="1" x14ac:dyDescent="0.3">
      <c r="E4" s="204"/>
      <c r="F4" s="205"/>
      <c r="G4" s="205"/>
      <c r="H4" s="205"/>
      <c r="I4" s="205"/>
      <c r="J4" s="205"/>
      <c r="K4" s="205"/>
      <c r="L4" s="205"/>
      <c r="M4" s="205"/>
      <c r="N4" s="205"/>
      <c r="O4" s="205"/>
      <c r="P4" s="205"/>
      <c r="Q4" s="205"/>
      <c r="R4" s="205"/>
      <c r="S4" s="205"/>
      <c r="T4" s="205"/>
      <c r="U4" s="205"/>
      <c r="V4" s="205"/>
      <c r="W4" s="205"/>
      <c r="X4" s="206"/>
    </row>
    <row r="5" spans="1:26" ht="26.4" customHeight="1" thickBot="1" x14ac:dyDescent="0.35">
      <c r="E5" s="207"/>
      <c r="F5" s="208"/>
      <c r="G5" s="208"/>
      <c r="H5" s="208"/>
      <c r="I5" s="208"/>
      <c r="J5" s="208"/>
      <c r="K5" s="208"/>
      <c r="L5" s="208"/>
      <c r="M5" s="208"/>
      <c r="N5" s="208"/>
      <c r="O5" s="208"/>
      <c r="P5" s="208"/>
      <c r="Q5" s="208"/>
      <c r="R5" s="208"/>
      <c r="S5" s="208"/>
      <c r="T5" s="208"/>
      <c r="U5" s="208"/>
      <c r="V5" s="208"/>
      <c r="W5" s="208"/>
      <c r="X5" s="209"/>
    </row>
    <row r="6" spans="1:26" ht="16.2" customHeight="1" thickTop="1" x14ac:dyDescent="0.3">
      <c r="E6" s="552" t="str">
        <f>REP.title1</f>
        <v>STEAM FINAL TREND REPORT FOR 2011-2022</v>
      </c>
      <c r="F6" s="553"/>
      <c r="G6" s="553"/>
      <c r="H6" s="553"/>
      <c r="I6" s="553"/>
      <c r="J6" s="553"/>
      <c r="K6" s="553"/>
      <c r="L6" s="553"/>
      <c r="M6" s="553"/>
      <c r="N6" s="553"/>
      <c r="O6" s="553"/>
      <c r="P6" s="557"/>
      <c r="Q6" s="557"/>
      <c r="R6" s="557"/>
      <c r="S6" s="831" t="s">
        <v>165</v>
      </c>
      <c r="T6" s="832"/>
      <c r="U6" s="832"/>
      <c r="V6" s="832"/>
      <c r="W6" s="832"/>
      <c r="X6" s="833"/>
    </row>
    <row r="7" spans="1:26" ht="16.2" customHeight="1" thickBot="1" x14ac:dyDescent="0.35">
      <c r="E7" s="554" t="str">
        <f>REP.title2</f>
        <v>GWYNEDD COUNCIL</v>
      </c>
      <c r="F7" s="555"/>
      <c r="G7" s="555"/>
      <c r="H7" s="555"/>
      <c r="I7" s="556"/>
      <c r="J7" s="556"/>
      <c r="K7" s="556"/>
      <c r="L7" s="556"/>
      <c r="M7" s="556"/>
      <c r="N7" s="556"/>
      <c r="O7" s="558"/>
      <c r="P7" s="558"/>
      <c r="Q7" s="558"/>
      <c r="R7" s="558"/>
      <c r="S7" s="834"/>
      <c r="T7" s="835"/>
      <c r="U7" s="835"/>
      <c r="V7" s="835"/>
      <c r="W7" s="835"/>
      <c r="X7" s="836"/>
    </row>
    <row r="8" spans="1:26" ht="16.2" customHeight="1" thickTop="1" thickBot="1" x14ac:dyDescent="0.35">
      <c r="E8" s="243"/>
      <c r="F8" s="244"/>
      <c r="G8" s="244"/>
      <c r="H8" s="244"/>
      <c r="I8" s="244"/>
      <c r="J8" s="244"/>
      <c r="K8" s="244"/>
      <c r="L8" s="244"/>
      <c r="M8" s="244"/>
      <c r="N8" s="244"/>
      <c r="O8" s="243"/>
      <c r="P8" s="244"/>
      <c r="Q8" s="244"/>
      <c r="R8" s="244"/>
      <c r="S8" s="244"/>
      <c r="T8" s="244"/>
      <c r="U8" s="244"/>
      <c r="V8" s="244"/>
      <c r="W8" s="244"/>
      <c r="X8" s="245"/>
    </row>
    <row r="9" spans="1:26" s="125" customFormat="1" ht="16.2" customHeight="1" thickTop="1" thickBot="1" x14ac:dyDescent="0.35">
      <c r="E9" s="536"/>
      <c r="F9" s="537"/>
      <c r="G9" s="537"/>
      <c r="H9" s="537"/>
      <c r="I9" s="537"/>
      <c r="J9" s="537"/>
      <c r="K9" s="537"/>
      <c r="L9" s="537"/>
      <c r="M9" s="537"/>
      <c r="N9" s="538"/>
      <c r="O9" s="536"/>
      <c r="P9" s="537"/>
      <c r="Q9" s="537"/>
      <c r="R9" s="537"/>
      <c r="S9" s="537"/>
      <c r="T9" s="537"/>
      <c r="U9" s="537"/>
      <c r="V9" s="537"/>
      <c r="W9" s="537"/>
      <c r="X9" s="538"/>
    </row>
    <row r="10" spans="1:26" s="125" customFormat="1" ht="16.2" customHeight="1" thickTop="1" thickBot="1" x14ac:dyDescent="0.35">
      <c r="E10" s="241"/>
      <c r="F10" s="242"/>
      <c r="G10" s="243"/>
      <c r="H10" s="244"/>
      <c r="I10" s="244"/>
      <c r="J10" s="244"/>
      <c r="K10" s="244"/>
      <c r="L10" s="244"/>
      <c r="M10" s="244"/>
      <c r="N10" s="244"/>
      <c r="O10" s="244"/>
      <c r="P10" s="244"/>
      <c r="Q10" s="244"/>
      <c r="R10" s="245"/>
      <c r="S10" s="246"/>
      <c r="T10" s="246"/>
      <c r="U10" s="247"/>
      <c r="V10" s="248"/>
      <c r="W10" s="248"/>
      <c r="X10" s="249"/>
    </row>
    <row r="11" spans="1:26" s="125" customFormat="1" ht="16.2" customHeight="1" thickTop="1" thickBot="1" x14ac:dyDescent="0.35">
      <c r="E11" s="241"/>
      <c r="F11" s="242"/>
      <c r="G11" s="241"/>
      <c r="H11" s="250"/>
      <c r="I11" s="242"/>
      <c r="J11" s="241"/>
      <c r="K11" s="250"/>
      <c r="L11" s="242"/>
      <c r="M11" s="251"/>
      <c r="N11" s="252"/>
      <c r="O11" s="253"/>
      <c r="P11" s="251"/>
      <c r="Q11" s="252"/>
      <c r="R11" s="253"/>
      <c r="S11" s="254"/>
      <c r="T11" s="254"/>
      <c r="U11" s="255"/>
      <c r="V11" s="256"/>
      <c r="W11" s="256"/>
      <c r="X11" s="257"/>
    </row>
    <row r="12" spans="1:26" ht="16.2" customHeight="1" thickTop="1" thickBot="1" x14ac:dyDescent="0.35">
      <c r="E12" s="258"/>
      <c r="F12" s="259"/>
      <c r="G12" s="260"/>
      <c r="H12" s="260"/>
      <c r="I12" s="260"/>
      <c r="J12" s="260"/>
      <c r="K12" s="260"/>
      <c r="L12" s="260"/>
      <c r="M12" s="261"/>
      <c r="N12" s="261"/>
      <c r="O12" s="261"/>
      <c r="P12" s="261"/>
      <c r="Q12" s="261"/>
      <c r="R12" s="261"/>
      <c r="S12" s="262"/>
      <c r="T12" s="262"/>
      <c r="U12" s="263"/>
      <c r="V12" s="263"/>
      <c r="W12" s="213"/>
      <c r="X12" s="213"/>
    </row>
    <row r="13" spans="1:26" ht="16.2" customHeight="1" thickTop="1" thickBot="1" x14ac:dyDescent="0.35">
      <c r="E13" s="264"/>
      <c r="F13" s="264"/>
      <c r="G13" s="135"/>
      <c r="H13" s="135"/>
      <c r="I13" s="135"/>
      <c r="J13" s="135"/>
      <c r="K13" s="135"/>
      <c r="L13" s="135"/>
      <c r="M13" s="192"/>
      <c r="N13" s="192"/>
      <c r="O13" s="192"/>
      <c r="P13" s="192"/>
      <c r="Q13" s="192"/>
      <c r="R13" s="192"/>
      <c r="S13" s="192"/>
      <c r="T13" s="265"/>
      <c r="U13" s="135"/>
      <c r="V13" s="135"/>
      <c r="W13" s="135"/>
      <c r="X13" s="135"/>
    </row>
    <row r="14" spans="1:26" ht="16.2" customHeight="1" thickTop="1" thickBot="1" x14ac:dyDescent="0.35">
      <c r="E14" s="264"/>
      <c r="F14" s="264"/>
      <c r="G14" s="135"/>
      <c r="H14" s="135"/>
      <c r="I14" s="135"/>
      <c r="J14" s="135"/>
      <c r="K14" s="135"/>
      <c r="L14" s="135"/>
      <c r="M14" s="192"/>
      <c r="N14" s="192"/>
      <c r="O14" s="192"/>
      <c r="P14" s="192"/>
      <c r="Q14" s="192"/>
      <c r="R14" s="192"/>
      <c r="S14" s="192"/>
      <c r="T14" s="265"/>
      <c r="U14" s="135"/>
      <c r="V14" s="135"/>
      <c r="W14" s="135"/>
      <c r="X14" s="135"/>
    </row>
    <row r="15" spans="1:26" ht="16.2" customHeight="1" thickTop="1" thickBot="1" x14ac:dyDescent="0.35">
      <c r="E15" s="264"/>
      <c r="F15" s="264"/>
      <c r="G15" s="135"/>
      <c r="H15" s="135"/>
      <c r="I15" s="135"/>
      <c r="J15" s="135"/>
      <c r="K15" s="135"/>
      <c r="L15" s="135"/>
      <c r="M15" s="192"/>
      <c r="N15" s="192"/>
      <c r="O15" s="192"/>
      <c r="P15" s="192"/>
      <c r="Q15" s="192"/>
      <c r="R15" s="192"/>
      <c r="S15" s="192"/>
      <c r="T15" s="265"/>
      <c r="U15" s="135"/>
      <c r="V15" s="135"/>
      <c r="W15" s="135"/>
      <c r="X15" s="135"/>
    </row>
    <row r="16" spans="1:26" ht="16.2" customHeight="1" thickTop="1" thickBot="1" x14ac:dyDescent="0.35">
      <c r="E16" s="266"/>
      <c r="F16" s="267"/>
      <c r="G16" s="268"/>
      <c r="H16" s="268"/>
      <c r="I16" s="268"/>
      <c r="J16" s="268"/>
      <c r="K16" s="268"/>
      <c r="L16" s="268"/>
      <c r="M16" s="269"/>
      <c r="N16" s="269"/>
      <c r="O16" s="269"/>
      <c r="P16" s="269"/>
      <c r="Q16" s="269"/>
      <c r="R16" s="269"/>
      <c r="S16" s="269"/>
      <c r="T16" s="265"/>
      <c r="U16" s="268"/>
      <c r="V16" s="268"/>
      <c r="W16" s="269"/>
      <c r="X16" s="269"/>
      <c r="Y16" s="270"/>
      <c r="Z16" s="111" t="b">
        <f>K16&gt;1000000</f>
        <v>0</v>
      </c>
    </row>
    <row r="17" spans="4:24" ht="16.2" customHeight="1" thickTop="1" thickBot="1" x14ac:dyDescent="0.35">
      <c r="E17" s="266"/>
      <c r="F17" s="267"/>
      <c r="G17" s="268"/>
      <c r="H17" s="268"/>
      <c r="I17" s="268"/>
      <c r="J17" s="268"/>
      <c r="K17" s="268"/>
      <c r="L17" s="268"/>
      <c r="M17" s="269"/>
      <c r="N17" s="269"/>
      <c r="O17" s="269"/>
      <c r="P17" s="269"/>
      <c r="Q17" s="269"/>
      <c r="R17" s="269"/>
      <c r="S17" s="269"/>
      <c r="T17" s="135"/>
      <c r="U17" s="268"/>
      <c r="V17" s="268"/>
      <c r="W17" s="269"/>
      <c r="X17" s="269"/>
    </row>
    <row r="18" spans="4:24" ht="16.2" customHeight="1" thickTop="1" thickBot="1" x14ac:dyDescent="0.35">
      <c r="E18" s="266"/>
      <c r="F18" s="267"/>
      <c r="G18" s="268"/>
      <c r="H18" s="268"/>
      <c r="I18" s="268"/>
      <c r="J18" s="268"/>
      <c r="K18" s="268"/>
      <c r="L18" s="268"/>
      <c r="M18" s="269"/>
      <c r="N18" s="269"/>
      <c r="O18" s="269"/>
      <c r="P18" s="269"/>
      <c r="Q18" s="269"/>
      <c r="R18" s="269"/>
      <c r="S18" s="269"/>
      <c r="T18" s="135"/>
      <c r="U18" s="268"/>
      <c r="V18" s="268"/>
      <c r="W18" s="269"/>
      <c r="X18" s="269"/>
    </row>
    <row r="19" spans="4:24" ht="16.2" customHeight="1" thickTop="1" thickBot="1" x14ac:dyDescent="0.35">
      <c r="E19" s="266"/>
      <c r="F19" s="229"/>
      <c r="G19" s="271"/>
      <c r="H19" s="271"/>
      <c r="I19" s="271"/>
      <c r="J19" s="271"/>
      <c r="K19" s="271"/>
      <c r="L19" s="271"/>
      <c r="M19" s="272"/>
      <c r="N19" s="272"/>
      <c r="O19" s="273"/>
      <c r="P19" s="272"/>
      <c r="Q19" s="272"/>
      <c r="R19" s="272"/>
      <c r="S19" s="272"/>
      <c r="T19" s="274"/>
      <c r="U19" s="271"/>
      <c r="V19" s="271"/>
      <c r="W19" s="272"/>
      <c r="X19" s="275"/>
    </row>
    <row r="20" spans="4:24" ht="16.2" customHeight="1" thickTop="1" thickBot="1" x14ac:dyDescent="0.35">
      <c r="E20" s="243"/>
      <c r="F20" s="244"/>
      <c r="G20" s="244"/>
      <c r="H20" s="244"/>
      <c r="I20" s="244"/>
      <c r="J20" s="244"/>
      <c r="K20" s="244"/>
      <c r="L20" s="244"/>
      <c r="M20" s="244"/>
      <c r="N20" s="244"/>
      <c r="O20" s="543"/>
      <c r="P20" s="544"/>
      <c r="Q20" s="544"/>
      <c r="R20" s="544"/>
      <c r="S20" s="544"/>
      <c r="T20" s="544"/>
      <c r="U20" s="544"/>
      <c r="V20" s="544"/>
      <c r="W20" s="544"/>
      <c r="X20" s="545"/>
    </row>
    <row r="21" spans="4:24" ht="16.2" customHeight="1" thickTop="1" thickBot="1" x14ac:dyDescent="0.35">
      <c r="E21" s="536"/>
      <c r="F21" s="537"/>
      <c r="G21" s="537"/>
      <c r="H21" s="537"/>
      <c r="I21" s="537"/>
      <c r="J21" s="537"/>
      <c r="K21" s="537"/>
      <c r="L21" s="537"/>
      <c r="M21" s="537"/>
      <c r="N21" s="538"/>
      <c r="O21" s="536"/>
      <c r="P21" s="537"/>
      <c r="Q21" s="537"/>
      <c r="R21" s="537"/>
      <c r="S21" s="537"/>
      <c r="T21" s="537"/>
      <c r="U21" s="537"/>
      <c r="V21" s="537"/>
      <c r="W21" s="537"/>
      <c r="X21" s="538"/>
    </row>
    <row r="22" spans="4:24" ht="16.2" customHeight="1" thickTop="1" thickBot="1" x14ac:dyDescent="0.35">
      <c r="E22" s="241"/>
      <c r="F22" s="242"/>
      <c r="G22" s="243"/>
      <c r="H22" s="244"/>
      <c r="I22" s="244"/>
      <c r="J22" s="244"/>
      <c r="K22" s="244"/>
      <c r="L22" s="244"/>
      <c r="M22" s="244"/>
      <c r="N22" s="244"/>
      <c r="O22" s="241"/>
      <c r="P22" s="242"/>
      <c r="Q22" s="243"/>
      <c r="R22" s="244"/>
      <c r="S22" s="244"/>
      <c r="T22" s="244"/>
      <c r="U22" s="244"/>
      <c r="V22" s="244"/>
      <c r="W22" s="244"/>
      <c r="X22" s="245"/>
    </row>
    <row r="23" spans="4:24" ht="16.2" customHeight="1" thickTop="1" thickBot="1" x14ac:dyDescent="0.35">
      <c r="E23" s="241"/>
      <c r="F23" s="242"/>
      <c r="G23" s="241"/>
      <c r="H23" s="250"/>
      <c r="I23" s="242"/>
      <c r="J23" s="241"/>
      <c r="K23" s="250"/>
      <c r="L23" s="242"/>
      <c r="M23" s="251"/>
      <c r="N23" s="252"/>
      <c r="O23" s="241"/>
      <c r="P23" s="242"/>
      <c r="Q23" s="241"/>
      <c r="R23" s="250"/>
      <c r="S23" s="242"/>
      <c r="T23" s="241"/>
      <c r="U23" s="250"/>
      <c r="V23" s="242"/>
      <c r="W23" s="251"/>
      <c r="X23" s="253"/>
    </row>
    <row r="24" spans="4:24" ht="16.2" customHeight="1" thickTop="1" thickBot="1" x14ac:dyDescent="0.35">
      <c r="E24" s="258"/>
      <c r="F24" s="259"/>
      <c r="G24" s="260"/>
      <c r="H24" s="260"/>
      <c r="I24" s="260"/>
      <c r="J24" s="260"/>
      <c r="K24" s="260"/>
      <c r="L24" s="260"/>
      <c r="M24" s="261"/>
      <c r="N24" s="261"/>
      <c r="O24" s="258"/>
      <c r="P24" s="259"/>
      <c r="Q24" s="260"/>
      <c r="R24" s="260"/>
      <c r="S24" s="260"/>
      <c r="T24" s="260"/>
      <c r="U24" s="260"/>
      <c r="V24" s="260"/>
      <c r="W24" s="261"/>
      <c r="X24" s="133"/>
    </row>
    <row r="25" spans="4:24" ht="16.2" customHeight="1" thickTop="1" thickBot="1" x14ac:dyDescent="0.35">
      <c r="E25" s="264"/>
      <c r="F25" s="264"/>
      <c r="G25" s="135"/>
      <c r="H25" s="135"/>
      <c r="I25" s="135"/>
      <c r="J25" s="135"/>
      <c r="K25" s="135"/>
      <c r="L25" s="135"/>
      <c r="M25" s="192"/>
      <c r="N25" s="192"/>
      <c r="O25" s="264"/>
      <c r="P25" s="264"/>
      <c r="Q25" s="135"/>
      <c r="R25" s="135"/>
      <c r="S25" s="135"/>
      <c r="T25" s="135"/>
      <c r="U25" s="135"/>
      <c r="V25" s="135"/>
      <c r="W25" s="192"/>
      <c r="X25" s="192"/>
    </row>
    <row r="26" spans="4:24" ht="16.2" customHeight="1" thickTop="1" thickBot="1" x14ac:dyDescent="0.35">
      <c r="E26" s="264"/>
      <c r="F26" s="264"/>
      <c r="G26" s="135"/>
      <c r="H26" s="135"/>
      <c r="I26" s="135"/>
      <c r="J26" s="135"/>
      <c r="K26" s="135"/>
      <c r="L26" s="135"/>
      <c r="M26" s="192"/>
      <c r="N26" s="192"/>
      <c r="O26" s="264"/>
      <c r="P26" s="264"/>
      <c r="Q26" s="135"/>
      <c r="R26" s="135"/>
      <c r="S26" s="135"/>
      <c r="T26" s="135"/>
      <c r="U26" s="135"/>
      <c r="V26" s="135"/>
      <c r="W26" s="192"/>
      <c r="X26" s="192"/>
    </row>
    <row r="27" spans="4:24" ht="16.2" customHeight="1" thickTop="1" thickBot="1" x14ac:dyDescent="0.35">
      <c r="D27" s="196" t="str">
        <f ca="1">"'"&amp;$A$1&amp;"'!"&amp;CELL("address",G27)&amp;":"&amp;CELL("address",OFFSET(G27,0,COUNT(REP.yearsrange)-1))</f>
        <v>'USER GUIDE'!$G$27:$R$27</v>
      </c>
      <c r="E27" s="264"/>
      <c r="F27" s="264"/>
      <c r="G27" s="135"/>
      <c r="H27" s="135"/>
      <c r="I27" s="135"/>
      <c r="J27" s="135"/>
      <c r="K27" s="135"/>
      <c r="L27" s="135"/>
      <c r="M27" s="192"/>
      <c r="N27" s="192"/>
      <c r="O27" s="264"/>
      <c r="P27" s="264"/>
      <c r="Q27" s="135"/>
      <c r="R27" s="135"/>
      <c r="S27" s="135"/>
      <c r="T27" s="135"/>
      <c r="U27" s="135"/>
      <c r="V27" s="135"/>
      <c r="W27" s="192"/>
      <c r="X27" s="192"/>
    </row>
    <row r="28" spans="4:24" ht="16.2" customHeight="1" thickTop="1" thickBot="1" x14ac:dyDescent="0.35">
      <c r="D28" s="196" t="str">
        <f ca="1">"'"&amp;$A$1&amp;"'!"&amp;CELL("address",G28)&amp;":"&amp;CELL("address",OFFSET(G28,0,COUNT(REP.yearsrange)-1))</f>
        <v>'USER GUIDE'!$G$28:$R$28</v>
      </c>
      <c r="E28" s="266"/>
      <c r="F28" s="267"/>
      <c r="G28" s="268"/>
      <c r="H28" s="268"/>
      <c r="I28" s="268"/>
      <c r="J28" s="268"/>
      <c r="K28" s="268"/>
      <c r="L28" s="268"/>
      <c r="M28" s="269"/>
      <c r="N28" s="269"/>
      <c r="O28" s="266"/>
      <c r="P28" s="267"/>
      <c r="Q28" s="268"/>
      <c r="R28" s="268"/>
      <c r="S28" s="268"/>
      <c r="T28" s="268"/>
      <c r="U28" s="268"/>
      <c r="V28" s="268"/>
      <c r="W28" s="269"/>
      <c r="X28" s="269"/>
    </row>
    <row r="29" spans="4:24" ht="16.2" customHeight="1" thickTop="1" thickBot="1" x14ac:dyDescent="0.35">
      <c r="D29" s="196" t="str">
        <f ca="1">"'"&amp;$A$1&amp;"'!"&amp;CELL("address",G29)&amp;":"&amp;CELL("address",OFFSET(G29,0,COUNT(REP.yearsrange)-1))</f>
        <v>'USER GUIDE'!$G$29:$R$29</v>
      </c>
      <c r="E29" s="266"/>
      <c r="F29" s="267"/>
      <c r="G29" s="268"/>
      <c r="H29" s="268"/>
      <c r="I29" s="268"/>
      <c r="J29" s="268"/>
      <c r="K29" s="268"/>
      <c r="L29" s="268"/>
      <c r="M29" s="269"/>
      <c r="N29" s="269"/>
      <c r="O29" s="266"/>
      <c r="P29" s="267"/>
      <c r="Q29" s="268"/>
      <c r="R29" s="268"/>
      <c r="S29" s="268"/>
      <c r="T29" s="268"/>
      <c r="U29" s="268"/>
      <c r="V29" s="268"/>
      <c r="W29" s="269"/>
      <c r="X29" s="269"/>
    </row>
    <row r="30" spans="4:24" ht="16.2" customHeight="1" thickTop="1" thickBot="1" x14ac:dyDescent="0.35">
      <c r="D30" s="196" t="str">
        <f ca="1">"'"&amp;$A$1&amp;"'!"&amp;CELL("address",G30)&amp;":"&amp;CELL("address",OFFSET(G30,0,COUNT(REP.yearsrange)-1))</f>
        <v>'USER GUIDE'!$G$30:$R$30</v>
      </c>
      <c r="E30" s="266"/>
      <c r="F30" s="267"/>
      <c r="G30" s="268"/>
      <c r="H30" s="268"/>
      <c r="I30" s="268"/>
      <c r="J30" s="268"/>
      <c r="K30" s="268"/>
      <c r="L30" s="268"/>
      <c r="M30" s="269"/>
      <c r="N30" s="269"/>
      <c r="O30" s="266"/>
      <c r="P30" s="267"/>
      <c r="Q30" s="268"/>
      <c r="R30" s="268"/>
      <c r="S30" s="268"/>
      <c r="T30" s="268"/>
      <c r="U30" s="268"/>
      <c r="V30" s="268"/>
      <c r="W30" s="269"/>
      <c r="X30" s="269"/>
    </row>
    <row r="31" spans="4:24" ht="16.2" customHeight="1" thickTop="1" thickBot="1" x14ac:dyDescent="0.35">
      <c r="D31" s="196" t="str">
        <f ca="1">"'"&amp;$A$1&amp;"'!"&amp;CELL("address",G31)&amp;":"&amp;CELL("address",OFFSET(G31,0,COUNT(REP.yearsrange)-1))</f>
        <v>'USER GUIDE'!$G$31:$R$31</v>
      </c>
      <c r="E31" s="266"/>
      <c r="F31" s="267"/>
      <c r="G31" s="268"/>
      <c r="H31" s="268"/>
      <c r="I31" s="268"/>
      <c r="J31" s="268"/>
      <c r="K31" s="268"/>
      <c r="L31" s="268"/>
      <c r="M31" s="269"/>
      <c r="N31" s="269"/>
      <c r="O31" s="266"/>
      <c r="P31" s="267"/>
      <c r="Q31" s="268"/>
      <c r="R31" s="268"/>
      <c r="S31" s="268"/>
      <c r="T31" s="268"/>
      <c r="U31" s="268"/>
      <c r="V31" s="268"/>
      <c r="W31" s="269"/>
      <c r="X31" s="269"/>
    </row>
    <row r="32" spans="4:24" ht="16.2" customHeight="1" thickTop="1" thickBot="1" x14ac:dyDescent="0.35">
      <c r="D32" s="196" t="str">
        <f ca="1">"'"&amp;$A$1&amp;"'!"&amp;CELL("address",G32)&amp;":"&amp;CELL("address",OFFSET(G32,0,COUNT(REP.yearsrange)-1))</f>
        <v>'USER GUIDE'!$G$32:$R$32</v>
      </c>
      <c r="E32" s="243"/>
      <c r="F32" s="245"/>
      <c r="G32" s="546"/>
      <c r="H32" s="546"/>
      <c r="I32" s="547"/>
      <c r="J32" s="547"/>
      <c r="K32" s="547"/>
      <c r="L32" s="547"/>
      <c r="M32" s="547"/>
      <c r="N32" s="547"/>
      <c r="O32" s="547"/>
      <c r="P32" s="547"/>
      <c r="Q32" s="547"/>
      <c r="R32" s="547"/>
      <c r="S32" s="268"/>
      <c r="T32" s="539"/>
      <c r="U32" s="539"/>
      <c r="V32" s="539"/>
      <c r="W32" s="539"/>
      <c r="X32" s="540"/>
    </row>
    <row r="33" spans="4:24" ht="16.2" customHeight="1" thickTop="1" thickBot="1" x14ac:dyDescent="0.35">
      <c r="D33" s="196"/>
      <c r="E33" s="548"/>
      <c r="F33" s="549"/>
      <c r="G33" s="135"/>
      <c r="H33" s="135"/>
      <c r="I33" s="135"/>
      <c r="J33" s="135"/>
      <c r="K33" s="135"/>
      <c r="L33" s="135"/>
      <c r="M33" s="135"/>
      <c r="N33" s="135"/>
      <c r="O33" s="135"/>
      <c r="P33" s="135"/>
      <c r="Q33" s="135"/>
      <c r="R33" s="135"/>
      <c r="S33" s="276"/>
      <c r="T33" s="541"/>
      <c r="U33" s="541"/>
      <c r="V33" s="541"/>
      <c r="W33" s="541"/>
      <c r="X33" s="542"/>
    </row>
    <row r="34" spans="4:24" ht="16.2" customHeight="1" thickTop="1" thickBot="1" x14ac:dyDescent="0.35">
      <c r="D34" s="196"/>
      <c r="E34" s="548"/>
      <c r="F34" s="549"/>
      <c r="G34" s="135"/>
      <c r="H34" s="135"/>
      <c r="I34" s="135"/>
      <c r="J34" s="135"/>
      <c r="K34" s="135"/>
      <c r="L34" s="135"/>
      <c r="M34" s="135"/>
      <c r="N34" s="135"/>
      <c r="O34" s="135"/>
      <c r="P34" s="135"/>
      <c r="Q34" s="135"/>
      <c r="R34" s="135"/>
      <c r="S34" s="276"/>
      <c r="T34" s="276"/>
      <c r="U34" s="276"/>
      <c r="V34" s="276"/>
      <c r="W34" s="277"/>
      <c r="X34" s="278"/>
    </row>
    <row r="35" spans="4:24" ht="16.2" customHeight="1" thickTop="1" thickBot="1" x14ac:dyDescent="0.35">
      <c r="D35" s="196"/>
      <c r="E35" s="548"/>
      <c r="F35" s="549"/>
      <c r="G35" s="135"/>
      <c r="H35" s="135"/>
      <c r="I35" s="135"/>
      <c r="J35" s="135"/>
      <c r="K35" s="135"/>
      <c r="L35" s="135"/>
      <c r="M35" s="135"/>
      <c r="N35" s="135"/>
      <c r="O35" s="135"/>
      <c r="P35" s="135"/>
      <c r="Q35" s="135"/>
      <c r="R35" s="135"/>
      <c r="S35" s="276"/>
      <c r="T35" s="276"/>
      <c r="U35" s="276"/>
      <c r="V35" s="276"/>
      <c r="W35" s="277"/>
      <c r="X35" s="278"/>
    </row>
    <row r="36" spans="4:24" ht="16.2" customHeight="1" thickTop="1" thickBot="1" x14ac:dyDescent="0.35">
      <c r="D36" s="196"/>
      <c r="E36" s="548"/>
      <c r="F36" s="549"/>
      <c r="G36" s="135"/>
      <c r="H36" s="135"/>
      <c r="I36" s="135"/>
      <c r="J36" s="135"/>
      <c r="K36" s="135"/>
      <c r="L36" s="135"/>
      <c r="M36" s="135"/>
      <c r="N36" s="135"/>
      <c r="O36" s="135"/>
      <c r="P36" s="135"/>
      <c r="Q36" s="135"/>
      <c r="R36" s="135"/>
      <c r="S36" s="276"/>
      <c r="T36" s="276"/>
      <c r="U36" s="276"/>
      <c r="V36" s="276"/>
      <c r="W36" s="277"/>
      <c r="X36" s="278"/>
    </row>
    <row r="37" spans="4:24" ht="16.2" customHeight="1" thickTop="1" thickBot="1" x14ac:dyDescent="0.35">
      <c r="D37" s="196"/>
      <c r="E37" s="550"/>
      <c r="F37" s="551"/>
      <c r="G37" s="135"/>
      <c r="H37" s="135"/>
      <c r="I37" s="135"/>
      <c r="J37" s="135"/>
      <c r="K37" s="135"/>
      <c r="L37" s="135"/>
      <c r="M37" s="135"/>
      <c r="N37" s="135"/>
      <c r="O37" s="135"/>
      <c r="P37" s="135"/>
      <c r="Q37" s="135"/>
      <c r="R37" s="135"/>
      <c r="S37" s="276"/>
      <c r="T37" s="276"/>
      <c r="U37" s="276"/>
      <c r="V37" s="276"/>
      <c r="W37" s="277"/>
      <c r="X37" s="278"/>
    </row>
    <row r="38" spans="4:24" s="174" customFormat="1" ht="16.2" customHeight="1" thickTop="1" thickBot="1" x14ac:dyDescent="0.2">
      <c r="D38" s="170"/>
      <c r="E38" s="171" t="str">
        <f>REP.footer1</f>
        <v>This report is copyright © Global Tourism Solutions (UK) Ltd 2023</v>
      </c>
      <c r="F38" s="172"/>
      <c r="G38" s="172"/>
      <c r="H38" s="172"/>
      <c r="I38" s="172"/>
      <c r="J38" s="172"/>
      <c r="K38" s="172"/>
      <c r="L38" s="172"/>
      <c r="M38" s="172"/>
      <c r="N38" s="172"/>
      <c r="O38" s="172"/>
      <c r="P38" s="172"/>
      <c r="Q38" s="172"/>
      <c r="R38" s="172"/>
      <c r="S38" s="172"/>
      <c r="T38" s="172"/>
      <c r="U38" s="172"/>
      <c r="V38" s="172"/>
      <c r="W38" s="172"/>
      <c r="X38" s="173" t="str">
        <f>REP.footer2</f>
        <v>Report Prepared by: Cathy James. Date of Issue: 14/08/23</v>
      </c>
    </row>
    <row r="39" spans="4:24" ht="16.2" customHeight="1" thickTop="1" x14ac:dyDescent="0.3"/>
    <row r="40" spans="4:24" ht="16.2" customHeight="1" x14ac:dyDescent="0.3">
      <c r="G40" s="240"/>
      <c r="H40" s="240"/>
      <c r="I40" s="240"/>
      <c r="J40" s="240"/>
      <c r="K40" s="240"/>
      <c r="L40" s="240"/>
      <c r="M40" s="240"/>
      <c r="N40" s="240"/>
      <c r="O40" s="240"/>
      <c r="P40" s="240"/>
      <c r="Q40" s="240"/>
      <c r="R40" s="240"/>
      <c r="S40" s="240"/>
      <c r="T40" s="240"/>
      <c r="U40" s="240"/>
      <c r="V40" s="240"/>
    </row>
    <row r="41" spans="4:24" ht="16.2" customHeight="1" x14ac:dyDescent="0.3">
      <c r="G41" s="240"/>
      <c r="H41" s="240"/>
      <c r="I41" s="240"/>
      <c r="J41" s="240"/>
      <c r="K41" s="240"/>
      <c r="L41" s="240"/>
      <c r="M41" s="240"/>
      <c r="N41" s="240"/>
      <c r="O41" s="240"/>
      <c r="P41" s="240"/>
      <c r="Q41" s="240"/>
      <c r="R41" s="240"/>
      <c r="S41" s="240"/>
      <c r="T41" s="240"/>
      <c r="U41" s="240"/>
      <c r="V41" s="240"/>
    </row>
    <row r="70" spans="7:23" ht="16.2" customHeight="1" x14ac:dyDescent="0.3">
      <c r="G70" s="111" t="s">
        <v>43</v>
      </c>
      <c r="H70" s="111" t="s">
        <v>43</v>
      </c>
      <c r="J70" s="111" t="s">
        <v>48</v>
      </c>
      <c r="K70" s="111" t="s">
        <v>48</v>
      </c>
      <c r="M70" s="111" t="s">
        <v>18</v>
      </c>
      <c r="N70" s="111" t="s">
        <v>18</v>
      </c>
      <c r="P70" s="111" t="s">
        <v>95</v>
      </c>
      <c r="S70" s="111" t="s">
        <v>71</v>
      </c>
      <c r="T70" s="111" t="s">
        <v>71</v>
      </c>
      <c r="V70" s="111" t="s">
        <v>54</v>
      </c>
      <c r="W70" s="111" t="s">
        <v>54</v>
      </c>
    </row>
  </sheetData>
  <sheetProtection algorithmName="SHA-512" hashValue="D2ihXCChcOY8/xWC5rkI24Q7FNKu2I+hkkCohEOncNRDUlLf2M+zjOOUGdEunYzhHdCVlyrDHxpNwFX2uCqGJg==" saltValue="vCxoizy4ZQrXTeSdc3WS2A==" spinCount="100000" sheet="1" objects="1" scenarios="1"/>
  <mergeCells count="1">
    <mergeCell ref="S6:X7"/>
  </mergeCells>
  <printOptions horizontalCentered="1" verticalCentered="1"/>
  <pageMargins left="0.70866141732283472" right="0.70866141732283472" top="0.74803149606299213" bottom="0.74803149606299213" header="0.31496062992125984" footer="0.31496062992125984"/>
  <pageSetup paperSize="9" scale="98" orientation="landscape" r:id="rId1"/>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Output01">
    <tabColor rgb="FFFFC000"/>
    <outlinePr showOutlineSymbols="0"/>
    <pageSetUpPr autoPageBreaks="0" fitToPage="1"/>
  </sheetPr>
  <dimension ref="A1:AA68"/>
  <sheetViews>
    <sheetView showGridLines="0" showRowColHeaders="0" showZeros="0" showOutlineSymbols="0" topLeftCell="A2" zoomScaleNormal="100" workbookViewId="0">
      <pane ySplit="6" topLeftCell="A8" activePane="bottomLeft" state="frozen"/>
      <selection activeCell="M48" sqref="M48"/>
      <selection pane="bottomLeft" activeCell="E6" sqref="E6"/>
    </sheetView>
  </sheetViews>
  <sheetFormatPr defaultColWidth="4.88671875" defaultRowHeight="16.2" customHeight="1" x14ac:dyDescent="0.3"/>
  <cols>
    <col min="1" max="3" width="4.88671875" style="111"/>
    <col min="4" max="4" width="4.88671875" style="112"/>
    <col min="5" max="5" width="19.5546875" style="111" customWidth="1"/>
    <col min="6" max="6" width="5.109375" style="111" customWidth="1"/>
    <col min="7" max="24" width="7.33203125" style="111" customWidth="1"/>
    <col min="25" max="25" width="7.109375" style="111" bestFit="1" customWidth="1"/>
    <col min="26" max="26" width="8.44140625" style="111" bestFit="1" customWidth="1"/>
    <col min="27" max="16384" width="4.88671875" style="111"/>
  </cols>
  <sheetData>
    <row r="1" spans="1:27" ht="16.2" hidden="1" customHeight="1" x14ac:dyDescent="0.3">
      <c r="A1" s="110" t="str">
        <f ca="1">MID(CELL("filename",A1),FIND("]",CELL("filename",A1))+1,255)</f>
        <v>COMPARATIVE HEADLINES</v>
      </c>
      <c r="E1" s="113"/>
      <c r="F1" s="114"/>
      <c r="G1" s="114"/>
      <c r="H1" s="114"/>
      <c r="I1" s="114"/>
      <c r="J1" s="114"/>
      <c r="K1" s="114"/>
      <c r="L1" s="114"/>
      <c r="M1" s="114"/>
      <c r="N1" s="114"/>
      <c r="O1" s="114"/>
      <c r="P1" s="114"/>
      <c r="Q1" s="114"/>
      <c r="R1" s="114"/>
      <c r="S1" s="114"/>
      <c r="T1" s="114"/>
      <c r="U1" s="114"/>
      <c r="V1" s="114"/>
      <c r="W1" s="114"/>
      <c r="X1" s="115"/>
    </row>
    <row r="2" spans="1:27" ht="16.2" customHeight="1" thickTop="1" x14ac:dyDescent="0.3">
      <c r="A2" s="618">
        <f>IF(($A$3/1000000)&gt;1,1000000,IF(($A$3/1000)&gt;1,1000,1))</f>
        <v>1000000</v>
      </c>
      <c r="B2" s="618">
        <f>IF((B3/1000000)&gt;1,1000000,IF((B3/1000)&gt;1,1000,1))</f>
        <v>1000</v>
      </c>
      <c r="C2" s="618">
        <f>B2</f>
        <v>1000</v>
      </c>
      <c r="D2" s="619"/>
      <c r="E2" s="116"/>
      <c r="F2" s="117"/>
      <c r="G2" s="117"/>
      <c r="H2" s="117"/>
      <c r="I2" s="117"/>
      <c r="J2" s="117"/>
      <c r="K2" s="117"/>
      <c r="L2" s="117"/>
      <c r="M2" s="117"/>
      <c r="N2" s="117"/>
      <c r="O2" s="117"/>
      <c r="P2" s="117"/>
      <c r="Q2" s="117"/>
      <c r="R2" s="117"/>
      <c r="S2" s="117"/>
      <c r="T2" s="117"/>
      <c r="U2" s="117"/>
      <c r="V2" s="117"/>
      <c r="W2" s="117"/>
      <c r="X2" s="118"/>
    </row>
    <row r="3" spans="1:27" ht="26.4" customHeight="1" x14ac:dyDescent="0.3">
      <c r="A3" s="661">
        <f>VLOOKUP(FOCUSYEAR&amp;"."&amp;$E16&amp;"."&amp;V$68,REP.data,18,FALSE)</f>
        <v>1523441.3709754955</v>
      </c>
      <c r="B3" s="620">
        <f>VLOOKUP(FOCUSYEAR&amp;"."&amp;$E14&amp;"."&amp;V$68,REP.data,18,FALSE)</f>
        <v>7882.3038751344529</v>
      </c>
      <c r="C3" s="620">
        <f>VLOOKUP(FOCUSYEAR&amp;"."&amp;$E13&amp;"."&amp;V$68,REP.data,18,FALSE)</f>
        <v>24180.314237896153</v>
      </c>
      <c r="D3" s="619"/>
      <c r="E3" s="119"/>
      <c r="F3" s="120"/>
      <c r="G3" s="120"/>
      <c r="H3" s="120"/>
      <c r="I3" s="120"/>
      <c r="J3" s="120"/>
      <c r="K3" s="120"/>
      <c r="L3" s="120"/>
      <c r="M3" s="120"/>
      <c r="N3" s="120"/>
      <c r="O3" s="120"/>
      <c r="P3" s="120"/>
      <c r="Q3" s="120"/>
      <c r="R3" s="120"/>
      <c r="S3" s="120"/>
      <c r="T3" s="120"/>
      <c r="U3" s="120"/>
      <c r="V3" s="120"/>
      <c r="W3" s="120"/>
      <c r="X3" s="121"/>
    </row>
    <row r="4" spans="1:27" ht="26.4" customHeight="1" x14ac:dyDescent="0.3">
      <c r="A4" s="621" t="str">
        <f>IFERROR(IF(A$2=1,"£000s",IF(A$2=1000,"£M","£Bn")),"")</f>
        <v>£Bn</v>
      </c>
      <c r="B4" s="621" t="str">
        <f>IFERROR(IF(B$2=1,"000s",IF(B$2=1000,"M","Bn")),"")</f>
        <v>M</v>
      </c>
      <c r="C4" s="621" t="str">
        <f>IFERROR(IF(C$2=1,"000s",IF(C$2=1000,"M","Bn")),"")</f>
        <v>M</v>
      </c>
      <c r="D4" s="619"/>
      <c r="E4" s="204"/>
      <c r="F4" s="205"/>
      <c r="G4" s="205"/>
      <c r="H4" s="205"/>
      <c r="I4" s="205"/>
      <c r="J4" s="205"/>
      <c r="K4" s="205"/>
      <c r="L4" s="205"/>
      <c r="M4" s="205"/>
      <c r="N4" s="205"/>
      <c r="O4" s="205"/>
      <c r="P4" s="205"/>
      <c r="Q4" s="205"/>
      <c r="R4" s="205"/>
      <c r="S4" s="205"/>
      <c r="T4" s="205"/>
      <c r="U4" s="205"/>
      <c r="V4" s="205"/>
      <c r="W4" s="205"/>
      <c r="X4" s="206"/>
    </row>
    <row r="5" spans="1:27" ht="26.4" customHeight="1" thickBot="1" x14ac:dyDescent="0.35">
      <c r="E5" s="207"/>
      <c r="F5" s="208"/>
      <c r="G5" s="208"/>
      <c r="H5" s="208"/>
      <c r="I5" s="208"/>
      <c r="J5" s="208"/>
      <c r="K5" s="208"/>
      <c r="L5" s="208"/>
      <c r="M5" s="208"/>
      <c r="N5" s="208"/>
      <c r="O5" s="208"/>
      <c r="P5" s="208"/>
      <c r="Q5" s="208"/>
      <c r="R5" s="208"/>
      <c r="S5" s="208"/>
      <c r="T5" s="208"/>
      <c r="U5" s="208"/>
      <c r="V5" s="208"/>
      <c r="W5" s="208"/>
      <c r="X5" s="209"/>
    </row>
    <row r="6" spans="1:27" ht="16.2" customHeight="1" thickTop="1" x14ac:dyDescent="0.3">
      <c r="E6" s="361" t="str">
        <f>REP.title1</f>
        <v>STEAM FINAL TREND REPORT FOR 2011-2022</v>
      </c>
      <c r="F6" s="381"/>
      <c r="G6" s="381"/>
      <c r="H6" s="381"/>
      <c r="I6" s="381"/>
      <c r="J6" s="381"/>
      <c r="K6" s="381"/>
      <c r="L6" s="381"/>
      <c r="M6" s="381"/>
      <c r="N6" s="381"/>
      <c r="O6" s="382"/>
      <c r="P6" s="909" t="str">
        <f>"Comparing "&amp;FOCUSYEAR&amp;" and "&amp;COMPARISONYEAR</f>
        <v>Comparing 2022 and 2021</v>
      </c>
      <c r="Q6" s="910"/>
      <c r="R6" s="911"/>
      <c r="S6" s="888" t="str">
        <f ca="1">$A$1</f>
        <v>COMPARATIVE HEADLINES</v>
      </c>
      <c r="T6" s="889"/>
      <c r="U6" s="889"/>
      <c r="V6" s="889"/>
      <c r="W6" s="889"/>
      <c r="X6" s="890"/>
    </row>
    <row r="7" spans="1:27" ht="16.2" customHeight="1" thickBot="1" x14ac:dyDescent="0.35">
      <c r="E7" s="362" t="str">
        <f>REP.title2</f>
        <v>GWYNEDD COUNCIL</v>
      </c>
      <c r="F7" s="363"/>
      <c r="G7" s="363"/>
      <c r="H7" s="363"/>
      <c r="I7" s="364"/>
      <c r="J7" s="364"/>
      <c r="K7" s="364"/>
      <c r="L7" s="364"/>
      <c r="M7" s="364"/>
      <c r="N7" s="364"/>
      <c r="O7" s="383"/>
      <c r="P7" s="912" t="str">
        <f>IF(REP.indexed="YES",COMPARISONYEAR&amp;" in "&amp;FOCUSYEAR&amp;" prices ("&amp;ROUND(VALUE(INDEX(GTS_SHEET!$F$19:$F$30,GTS_SHEET!J33)),3)&amp;")","All £'s Historic Prices")</f>
        <v>2021 in 2022 prices (1.078)</v>
      </c>
      <c r="Q7" s="913"/>
      <c r="R7" s="914"/>
      <c r="S7" s="891"/>
      <c r="T7" s="892"/>
      <c r="U7" s="892"/>
      <c r="V7" s="892"/>
      <c r="W7" s="892"/>
      <c r="X7" s="893"/>
    </row>
    <row r="8" spans="1:27" ht="16.2" customHeight="1" thickTop="1" thickBot="1" x14ac:dyDescent="0.35">
      <c r="E8" s="906" t="str">
        <f>"KEY PERFORMANCE INDICATORS BY TYPE OF VISITOR - COMPARING "&amp;FOCUSYEAR&amp;" &amp; "&amp;COMPARISONYEAR&amp;IF(REP.indexed="YES"," - INDEXED TO "&amp;FOCUSYEAR," - IN HISTORIC PRICES")</f>
        <v>KEY PERFORMANCE INDICATORS BY TYPE OF VISITOR - COMPARING 2022 &amp; 2021 - INDEXED TO 2022</v>
      </c>
      <c r="F8" s="907"/>
      <c r="G8" s="907"/>
      <c r="H8" s="907"/>
      <c r="I8" s="907"/>
      <c r="J8" s="907"/>
      <c r="K8" s="907"/>
      <c r="L8" s="907"/>
      <c r="M8" s="907"/>
      <c r="N8" s="907"/>
      <c r="O8" s="907"/>
      <c r="P8" s="907"/>
      <c r="Q8" s="907"/>
      <c r="R8" s="907"/>
      <c r="S8" s="907"/>
      <c r="T8" s="907"/>
      <c r="U8" s="907"/>
      <c r="V8" s="907"/>
      <c r="W8" s="907"/>
      <c r="X8" s="908"/>
      <c r="AA8" s="111">
        <f>COMPARISONYEAR</f>
        <v>2021</v>
      </c>
    </row>
    <row r="9" spans="1:27" s="125" customFormat="1" ht="16.2" customHeight="1" thickTop="1" thickBot="1" x14ac:dyDescent="0.35">
      <c r="E9" s="872" t="s">
        <v>90</v>
      </c>
      <c r="F9" s="873"/>
      <c r="G9" s="279"/>
      <c r="H9" s="280"/>
      <c r="I9" s="280"/>
      <c r="J9" s="280"/>
      <c r="K9" s="280"/>
      <c r="L9" s="280"/>
      <c r="M9" s="280"/>
      <c r="N9" s="280"/>
      <c r="O9" s="280"/>
      <c r="P9" s="915" t="s">
        <v>95</v>
      </c>
      <c r="Q9" s="915"/>
      <c r="R9" s="916"/>
      <c r="S9" s="919" t="s">
        <v>97</v>
      </c>
      <c r="T9" s="920"/>
      <c r="U9" s="921"/>
      <c r="V9" s="839" t="s">
        <v>96</v>
      </c>
      <c r="W9" s="840"/>
      <c r="X9" s="841"/>
    </row>
    <row r="10" spans="1:27" s="125" customFormat="1" ht="16.2" customHeight="1" thickTop="1" thickBot="1" x14ac:dyDescent="0.35">
      <c r="E10" s="845" t="str">
        <f>REP.highlightup</f>
        <v>An increase of 3% or more</v>
      </c>
      <c r="F10" s="846"/>
      <c r="G10" s="847" t="s">
        <v>112</v>
      </c>
      <c r="H10" s="848"/>
      <c r="I10" s="848"/>
      <c r="J10" s="848"/>
      <c r="K10" s="848"/>
      <c r="L10" s="849"/>
      <c r="M10" s="850" t="s">
        <v>139</v>
      </c>
      <c r="N10" s="851"/>
      <c r="O10" s="852"/>
      <c r="P10" s="915"/>
      <c r="Q10" s="915"/>
      <c r="R10" s="916"/>
      <c r="S10" s="919"/>
      <c r="T10" s="920"/>
      <c r="U10" s="921"/>
      <c r="V10" s="839"/>
      <c r="W10" s="840"/>
      <c r="X10" s="841"/>
    </row>
    <row r="11" spans="1:27" s="125" customFormat="1" ht="16.2" customHeight="1" thickTop="1" thickBot="1" x14ac:dyDescent="0.35">
      <c r="E11" s="856" t="str">
        <f>REP.highlightsame</f>
        <v>Less than 3% change</v>
      </c>
      <c r="F11" s="857"/>
      <c r="G11" s="858" t="s">
        <v>110</v>
      </c>
      <c r="H11" s="859"/>
      <c r="I11" s="860"/>
      <c r="J11" s="861" t="s">
        <v>111</v>
      </c>
      <c r="K11" s="862"/>
      <c r="L11" s="862"/>
      <c r="M11" s="853"/>
      <c r="N11" s="854"/>
      <c r="O11" s="855"/>
      <c r="P11" s="917"/>
      <c r="Q11" s="917"/>
      <c r="R11" s="918"/>
      <c r="S11" s="922"/>
      <c r="T11" s="923"/>
      <c r="U11" s="924"/>
      <c r="V11" s="842"/>
      <c r="W11" s="843"/>
      <c r="X11" s="844"/>
    </row>
    <row r="12" spans="1:27" ht="16.2" customHeight="1" thickTop="1" thickBot="1" x14ac:dyDescent="0.35">
      <c r="E12" s="837" t="str">
        <f>REP.highlightdown</f>
        <v>A Fall of 3% or more</v>
      </c>
      <c r="F12" s="838"/>
      <c r="G12" s="281">
        <f>FOCUSYEAR</f>
        <v>2022</v>
      </c>
      <c r="H12" s="282">
        <f>COMPARISONYEAR</f>
        <v>2021</v>
      </c>
      <c r="I12" s="283" t="s">
        <v>113</v>
      </c>
      <c r="J12" s="281">
        <f>FOCUSYEAR</f>
        <v>2022</v>
      </c>
      <c r="K12" s="282">
        <f>COMPARISONYEAR</f>
        <v>2021</v>
      </c>
      <c r="L12" s="283" t="s">
        <v>113</v>
      </c>
      <c r="M12" s="281">
        <f>FOCUSYEAR</f>
        <v>2022</v>
      </c>
      <c r="N12" s="282">
        <f>COMPARISONYEAR</f>
        <v>2021</v>
      </c>
      <c r="O12" s="283" t="s">
        <v>113</v>
      </c>
      <c r="P12" s="281">
        <f>FOCUSYEAR</f>
        <v>2022</v>
      </c>
      <c r="Q12" s="282">
        <f>COMPARISONYEAR</f>
        <v>2021</v>
      </c>
      <c r="R12" s="283" t="s">
        <v>113</v>
      </c>
      <c r="S12" s="281">
        <f>FOCUSYEAR</f>
        <v>2022</v>
      </c>
      <c r="T12" s="282">
        <f>COMPARISONYEAR</f>
        <v>2021</v>
      </c>
      <c r="U12" s="283" t="s">
        <v>113</v>
      </c>
      <c r="V12" s="281">
        <f>FOCUSYEAR</f>
        <v>2022</v>
      </c>
      <c r="W12" s="282">
        <f>COMPARISONYEAR</f>
        <v>2021</v>
      </c>
      <c r="X12" s="283" t="s">
        <v>113</v>
      </c>
    </row>
    <row r="13" spans="1:27" ht="16.2" customHeight="1" thickTop="1" thickBot="1" x14ac:dyDescent="0.35">
      <c r="E13" s="284" t="s">
        <v>171</v>
      </c>
      <c r="F13" s="194" t="str">
        <f>$C$4</f>
        <v>M</v>
      </c>
      <c r="G13" s="655">
        <f>IFERROR(INDEX(DATA!$T:$T,MATCH(FOCUSYEAR&amp;"."&amp;$E13&amp;"."&amp;G$68,REP.lookup,0))/$B$2,"")</f>
        <v>1.2065322566246424</v>
      </c>
      <c r="H13" s="656">
        <f>IFERROR(INDEX(DATA!$T:$T,MATCH(COMPARISONYEAR&amp;"."&amp;$E13&amp;"."&amp;H$68,REP.lookup,0))/$B$2,"")</f>
        <v>0.88717529602886691</v>
      </c>
      <c r="I13" s="195">
        <f>IFERROR(G13/H13-1,"")</f>
        <v>0.35997052896453074</v>
      </c>
      <c r="J13" s="655">
        <f>IFERROR(INDEX(DATA!$T:$T,MATCH(FOCUSYEAR&amp;"."&amp;$E13&amp;"."&amp;J$68,REP.lookup,0))/$B$2,"")</f>
        <v>18.774503365224437</v>
      </c>
      <c r="K13" s="656">
        <f>IFERROR(INDEX(DATA!$T:$T,MATCH(COMPARISONYEAR&amp;"."&amp;$E13&amp;"."&amp;K$68,REP.lookup,0))/$B$2,"")</f>
        <v>14.513232618188361</v>
      </c>
      <c r="L13" s="195">
        <f>IFERROR(J13/K13-1,"")</f>
        <v>0.29361279179772404</v>
      </c>
      <c r="M13" s="655">
        <f>IFERROR(INDEX(DATA!$T:$T,MATCH(FOCUSYEAR&amp;"."&amp;$E13&amp;"."&amp;M$68,REP.lookup,0))/$B$2,"")</f>
        <v>0.43046129179636367</v>
      </c>
      <c r="N13" s="656">
        <f>IFERROR(INDEX(DATA!$T:$T,MATCH(COMPARISONYEAR&amp;"."&amp;$E13&amp;"."&amp;N$68,REP.lookup,0))/$B$2,"")</f>
        <v>0.11935162952227273</v>
      </c>
      <c r="O13" s="195">
        <f>IFERROR(M13/N13-1,"")</f>
        <v>2.6066645551415233</v>
      </c>
      <c r="P13" s="655">
        <f>IFERROR(INDEX(DATA!$T:$T,MATCH(FOCUSYEAR&amp;"."&amp;$E13&amp;"."&amp;"Staying Visitor",REP.lookup,0))/$B$2,"")</f>
        <v>20.411496913645447</v>
      </c>
      <c r="Q13" s="656">
        <f>IFERROR(INDEX(DATA!$T:$T,MATCH(COMPARISONYEAR&amp;"."&amp;$E13&amp;"."&amp;"Staying Visitor",REP.lookup,0))/$B$2,"")</f>
        <v>15.519759543739502</v>
      </c>
      <c r="R13" s="195">
        <f>IFERROR(P13/Q13-1,"")</f>
        <v>0.31519414692730963</v>
      </c>
      <c r="S13" s="655">
        <f>IFERROR(INDEX(DATA!$T:$T,MATCH(FOCUSYEAR&amp;"."&amp;$E13&amp;"."&amp;S$68,REP.lookup,0))/$B$2,"")</f>
        <v>3.768817324250707</v>
      </c>
      <c r="T13" s="656">
        <f>IFERROR(INDEX(DATA!$T:$T,MATCH(COMPARISONYEAR&amp;"."&amp;$E13&amp;"."&amp;T$68,REP.lookup,0))/$B$2,"")</f>
        <v>3.0488879115909984</v>
      </c>
      <c r="U13" s="195">
        <f>IFERROR(S13/T13-1,"")</f>
        <v>0.23612852736328649</v>
      </c>
      <c r="V13" s="655">
        <f>IFERROR(INDEX(DATA!$T:$T,MATCH(FOCUSYEAR&amp;"."&amp;$E13&amp;"."&amp;V$68,REP.lookup,0))/$B$2,"")</f>
        <v>24.180314237896152</v>
      </c>
      <c r="W13" s="656">
        <f>IFERROR(INDEX(DATA!$T:$T,MATCH(COMPARISONYEAR&amp;"."&amp;$E13&amp;"."&amp;W$68,REP.lookup,0))/$B$2,"")</f>
        <v>18.568647455330499</v>
      </c>
      <c r="X13" s="195">
        <f>IFERROR(V13/W13-1,"")</f>
        <v>0.30221192987078394</v>
      </c>
    </row>
    <row r="14" spans="1:27" ht="16.2" customHeight="1" thickTop="1" thickBot="1" x14ac:dyDescent="0.35">
      <c r="E14" s="285" t="s">
        <v>172</v>
      </c>
      <c r="F14" s="194" t="str">
        <f>$B$4</f>
        <v>M</v>
      </c>
      <c r="G14" s="655">
        <f>IFERROR(INDEX(DATA!$T:$T,MATCH(FOCUSYEAR&amp;"."&amp;$E14&amp;"."&amp;G$68,REP.lookup,0))/$B$2,"")</f>
        <v>0.67660965910293658</v>
      </c>
      <c r="H14" s="656">
        <f>IFERROR(INDEX(DATA!$T:$T,MATCH(COMPARISONYEAR&amp;"."&amp;$E14&amp;"."&amp;H$68,REP.lookup,0))/$B$2,"")</f>
        <v>0.49954945429165892</v>
      </c>
      <c r="I14" s="195">
        <f>IFERROR(G14/H14-1,"")</f>
        <v>0.35443979227710676</v>
      </c>
      <c r="J14" s="655">
        <f>IFERROR(INDEX(DATA!$T:$T,MATCH(FOCUSYEAR&amp;"."&amp;$E14&amp;"."&amp;J$68,REP.lookup,0))/$B$2,"")</f>
        <v>3.2560645092353546</v>
      </c>
      <c r="K14" s="656">
        <f>IFERROR(INDEX(DATA!$T:$T,MATCH(COMPARISONYEAR&amp;"."&amp;$E14&amp;"."&amp;K$68,REP.lookup,0))/$B$2,"")</f>
        <v>2.3369362264807485</v>
      </c>
      <c r="L14" s="195">
        <f>IFERROR(J14/K14-1,"")</f>
        <v>0.39330482036249004</v>
      </c>
      <c r="M14" s="655">
        <f>IFERROR(INDEX(DATA!$T:$T,MATCH(FOCUSYEAR&amp;"."&amp;$E14&amp;"."&amp;M$68,REP.lookup,0))/$B$2,"")</f>
        <v>0.18081238254545451</v>
      </c>
      <c r="N14" s="656">
        <f>IFERROR(INDEX(DATA!$T:$T,MATCH(COMPARISONYEAR&amp;"."&amp;$E14&amp;"."&amp;N$68,REP.lookup,0))/$B$2,"")</f>
        <v>4.9901126027272723E-2</v>
      </c>
      <c r="O14" s="195">
        <f>IFERROR(M14/N14-1,"")</f>
        <v>2.6234128754255801</v>
      </c>
      <c r="P14" s="655">
        <f>IFERROR(INDEX(DATA!$T:$T,MATCH(FOCUSYEAR&amp;"."&amp;$E14&amp;"."&amp;"Staying Visitor",REP.lookup,0))/$B$2,"")</f>
        <v>4.1134865508837466</v>
      </c>
      <c r="Q14" s="656">
        <f>IFERROR(INDEX(DATA!$T:$T,MATCH(COMPARISONYEAR&amp;"."&amp;$E14&amp;"."&amp;"Staying Visitor",REP.lookup,0))/$B$2,"")</f>
        <v>2.8863868067996803</v>
      </c>
      <c r="R14" s="195">
        <f>IFERROR(P14/Q14-1,"")</f>
        <v>0.42513350642862369</v>
      </c>
      <c r="S14" s="655">
        <f>IFERROR(INDEX(DATA!$T:$T,MATCH(FOCUSYEAR&amp;"."&amp;$E14&amp;"."&amp;S$68,REP.lookup,0))/$B$2,"")</f>
        <v>3.768817324250707</v>
      </c>
      <c r="T14" s="656">
        <f>IFERROR(INDEX(DATA!$T:$T,MATCH(COMPARISONYEAR&amp;"."&amp;$E14&amp;"."&amp;T$68,REP.lookup,0))/$B$2,"")</f>
        <v>3.0488879115909984</v>
      </c>
      <c r="U14" s="195">
        <f>IFERROR(S14/T14-1,"")</f>
        <v>0.23612852736328649</v>
      </c>
      <c r="V14" s="655">
        <f>IFERROR(INDEX(DATA!$T:$T,MATCH(FOCUSYEAR&amp;"."&amp;$E14&amp;"."&amp;V$68,REP.lookup,0))/$B$2,"")</f>
        <v>7.8823038751344532</v>
      </c>
      <c r="W14" s="656">
        <f>IFERROR(INDEX(DATA!$T:$T,MATCH(COMPARISONYEAR&amp;"."&amp;$E14&amp;"."&amp;W$68,REP.lookup,0))/$B$2,"")</f>
        <v>5.9352747183906773</v>
      </c>
      <c r="X14" s="195">
        <f>IFERROR(V14/W14-1,"")</f>
        <v>0.32804364568177968</v>
      </c>
    </row>
    <row r="15" spans="1:27" ht="16.2" customHeight="1" thickTop="1" thickBot="1" x14ac:dyDescent="0.35">
      <c r="E15" s="286" t="s">
        <v>44</v>
      </c>
      <c r="F15" s="194" t="str">
        <f>$A$4</f>
        <v>£Bn</v>
      </c>
      <c r="G15" s="287"/>
      <c r="H15" s="288"/>
      <c r="I15" s="289"/>
      <c r="J15" s="287"/>
      <c r="K15" s="288"/>
      <c r="L15" s="289"/>
      <c r="M15" s="287"/>
      <c r="N15" s="288"/>
      <c r="O15" s="289"/>
      <c r="P15" s="288"/>
      <c r="Q15" s="288"/>
      <c r="R15" s="289"/>
      <c r="S15" s="288"/>
      <c r="T15" s="288"/>
      <c r="U15" s="290"/>
      <c r="V15" s="655">
        <f>IFERROR(INDEX(DATA!$T:$T,MATCH(FOCUSYEAR&amp;".Economic Impact."&amp;$E15,REP.lookup,0))/$A$2,"")</f>
        <v>1.1190227343690218</v>
      </c>
      <c r="W15" s="656">
        <f>IFERROR(INDEX(DATA!$T:$T,MATCH(COMPARISONYEAR&amp;".Economic Impact."&amp;$E15,REP.lookup,0))*INDEX(REP.indexationtoFOCUSYEAR,MATCH(VALUE(COMPARISONYEAR),REP.yearsrange))/$A$2,"")</f>
        <v>0.90587257715496228</v>
      </c>
      <c r="X15" s="195">
        <f t="shared" ref="X15:X18" si="0">IFERROR(V15/W15-1,"")</f>
        <v>0.23529816730239439</v>
      </c>
    </row>
    <row r="16" spans="1:27" ht="16.2" customHeight="1" thickTop="1" thickBot="1" x14ac:dyDescent="0.35">
      <c r="E16" s="221" t="s">
        <v>17</v>
      </c>
      <c r="F16" s="194" t="str">
        <f>$A$4</f>
        <v>£Bn</v>
      </c>
      <c r="G16" s="655">
        <f>IFERROR(INDEX(DATA!$T:$T,MATCH(FOCUSYEAR&amp;"."&amp;$E16&amp;"."&amp;G$68,REP.lookup,0))/$A$2,"")</f>
        <v>0.14226386291018059</v>
      </c>
      <c r="H16" s="656">
        <f>IFERROR(INDEX(DATA!$T:$T,MATCH(COMPARISONYEAR&amp;"."&amp;$E16&amp;"."&amp;H$68,REP.lookup,0))*INDEX(REP.indexationtoFOCUSYEAR,MATCH(VALUE(COMPARISONYEAR),REP.yearsrange))/$A$2,"")</f>
        <v>0.11003999825087028</v>
      </c>
      <c r="I16" s="195">
        <f>IFERROR(G16/H16-1,"")</f>
        <v>0.29283774238023907</v>
      </c>
      <c r="J16" s="655">
        <f>IFERROR(INDEX(DATA!$T:$T,MATCH(FOCUSYEAR&amp;"."&amp;$E16&amp;"."&amp;J$68,REP.lookup,0))/$A$2,"")</f>
        <v>1.1579635043597081</v>
      </c>
      <c r="K16" s="656">
        <f>IFERROR(INDEX(DATA!$T:$T,MATCH(COMPARISONYEAR&amp;"."&amp;$E16&amp;"."&amp;K$68,REP.lookup,0))*INDEX(REP.indexationtoFOCUSYEAR,MATCH(VALUE(COMPARISONYEAR),REP.yearsrange))/$A$2,"")</f>
        <v>0.98426368112711937</v>
      </c>
      <c r="L16" s="195">
        <f>IFERROR(J16/K16-1,"")</f>
        <v>0.17647692032451934</v>
      </c>
      <c r="M16" s="655">
        <f>IFERROR(INDEX(DATA!$T:$T,MATCH(FOCUSYEAR&amp;"."&amp;$E16&amp;"."&amp;M$68,REP.lookup,0))/$A$2,"")</f>
        <v>1.6934760712852766E-2</v>
      </c>
      <c r="N16" s="656">
        <f>IFERROR(INDEX(DATA!$T:$T,MATCH(COMPARISONYEAR&amp;"."&amp;$E16&amp;"."&amp;N$68,REP.lookup,0))*INDEX(REP.indexationtoFOCUSYEAR,MATCH(VALUE(COMPARISONYEAR),REP.yearsrange))/$A$2,"")</f>
        <v>4.6956206861207585E-3</v>
      </c>
      <c r="O16" s="195">
        <f>IFERROR(M16/N16-1,"")</f>
        <v>2.6065010027126476</v>
      </c>
      <c r="P16" s="655">
        <f>IFERROR(INDEX(DATA!$T:$T,MATCH(FOCUSYEAR&amp;"."&amp;$E16&amp;"."&amp;"Staying Visitor",REP.lookup,0))/$A$2,"")</f>
        <v>1.3171621279827415</v>
      </c>
      <c r="Q16" s="656">
        <f>IFERROR(INDEX(DATA!$T:$T,MATCH(COMPARISONYEAR&amp;"."&amp;$E16&amp;"."&amp;"Staying Visitor",REP.lookup,0))*INDEX(REP.indexationtoFOCUSYEAR,MATCH(VALUE(COMPARISONYEAR),REP.yearsrange))/$A$2,"")</f>
        <v>1.0989993000641105</v>
      </c>
      <c r="R16" s="195">
        <f>IFERROR(P16/Q16-1,"")</f>
        <v>0.19851043390646783</v>
      </c>
      <c r="S16" s="655">
        <f>IFERROR(INDEX(DATA!$T:$T,MATCH(FOCUSYEAR&amp;"."&amp;$E16&amp;"."&amp;S$68,REP.lookup,0))/$A$2,"")</f>
        <v>0.20627924299275399</v>
      </c>
      <c r="T16" s="656">
        <f>IFERROR(INDEX(DATA!$T:$T,MATCH(COMPARISONYEAR&amp;"."&amp;$E16&amp;"."&amp;T$68,REP.lookup,0))*INDEX(REP.indexationtoFOCUSYEAR,MATCH(VALUE(COMPARISONYEAR),REP.yearsrange))/$A$2,"")</f>
        <v>0.13758379736214124</v>
      </c>
      <c r="U16" s="195">
        <f>IFERROR(S16/T16-1,"")</f>
        <v>0.49929895051374396</v>
      </c>
      <c r="V16" s="655">
        <f>IFERROR(INDEX(DATA!$T:$T,MATCH(FOCUSYEAR&amp;"."&amp;$E16&amp;"."&amp;V$68,REP.lookup,0))/$A$2,"")</f>
        <v>1.5234413709754955</v>
      </c>
      <c r="W16" s="656">
        <f>IFERROR(INDEX(DATA!$T:$T,MATCH(COMPARISONYEAR&amp;"."&amp;$E16&amp;"."&amp;W$68,REP.lookup,0))*INDEX(REP.indexationtoFOCUSYEAR,MATCH(VALUE(COMPARISONYEAR),REP.yearsrange))/$A$2,"")</f>
        <v>1.2365830974262517</v>
      </c>
      <c r="X16" s="195">
        <f>IFERROR(V16/W16-1,"")</f>
        <v>0.23197654419366809</v>
      </c>
    </row>
    <row r="17" spans="5:24" ht="16.2" customHeight="1" thickTop="1" thickBot="1" x14ac:dyDescent="0.35">
      <c r="E17" s="294" t="s">
        <v>55</v>
      </c>
      <c r="F17" s="194" t="s">
        <v>59</v>
      </c>
      <c r="G17" s="292">
        <f>IFERROR(INDEX(DATA!$T:$T,MATCH(FOCUSYEAR&amp;".Employment."&amp;G$68,REP.lookup,0)),"")</f>
        <v>2005.8532319564802</v>
      </c>
      <c r="H17" s="293">
        <f>IFERROR(INDEX(DATA!$T:$T,MATCH(COMPARISONYEAR&amp;".Employment."&amp;H$68,REP.lookup,0)),"")</f>
        <v>1361.5577869327842</v>
      </c>
      <c r="I17" s="195">
        <f>IFERROR(G17/H17-1,"")</f>
        <v>0.47320462723445367</v>
      </c>
      <c r="J17" s="292">
        <f>IFERROR(INDEX(DATA!$T:$T,MATCH(FOCUSYEAR&amp;".Employment."&amp;J$68,REP.lookup,0)),"")</f>
        <v>10593.01630038202</v>
      </c>
      <c r="K17" s="293">
        <f>IFERROR(INDEX(DATA!$T:$T,MATCH(COMPARISONYEAR&amp;".Employment."&amp;K$68,REP.lookup,0)),"")</f>
        <v>9185.4233898376133</v>
      </c>
      <c r="L17" s="195">
        <f>IFERROR(J17/K17-1,"")</f>
        <v>0.15324202824463273</v>
      </c>
      <c r="M17" s="292">
        <f>IFERROR(INDEX(DATA!$T:$T,MATCH(FOCUSYEAR&amp;".Employment."&amp;M$68,REP.lookup,0)),"")</f>
        <v>137.92343032100135</v>
      </c>
      <c r="N17" s="293">
        <f>IFERROR(INDEX(DATA!$T:$T,MATCH(COMPARISONYEAR&amp;".Employment."&amp;N$68,REP.lookup,0)),"")</f>
        <v>40.351111873267705</v>
      </c>
      <c r="O17" s="195">
        <f>IFERROR(M17/N17-1,"")</f>
        <v>2.4180825240747463</v>
      </c>
      <c r="P17" s="292">
        <f>IFERROR(INDEX(DATA!$T:$T,MATCH(FOCUSYEAR&amp;".Employment."&amp;"Staying Visitor",REP.lookup,0)),"")</f>
        <v>12736.792962659501</v>
      </c>
      <c r="Q17" s="293">
        <f>IFERROR(INDEX(DATA!$T:$T,MATCH(COMPARISONYEAR&amp;".Employment."&amp;"Staying Visitor",REP.lookup,0)),"")</f>
        <v>10587.332288643665</v>
      </c>
      <c r="R17" s="195">
        <f>IFERROR(P17/Q17-1,"")</f>
        <v>0.2030219337048127</v>
      </c>
      <c r="S17" s="292">
        <f>IFERROR(INDEX(DATA!$T:$T,MATCH(FOCUSYEAR&amp;".Employment."&amp;S$68,REP.lookup,0)),"")</f>
        <v>1547.2243679194735</v>
      </c>
      <c r="T17" s="293">
        <f>IFERROR(INDEX(DATA!$T:$T,MATCH(COMPARISONYEAR&amp;".Employment."&amp;T$68,REP.lookup,0)),"")</f>
        <v>1069.6344712283058</v>
      </c>
      <c r="U17" s="195">
        <f>IFERROR(S17/T17-1,"")</f>
        <v>0.44649822863574262</v>
      </c>
      <c r="V17" s="292">
        <f>SUM(P17,S17)</f>
        <v>14284.017330578976</v>
      </c>
      <c r="W17" s="293">
        <f>SUM(Q17,T17)</f>
        <v>11656.966759871972</v>
      </c>
      <c r="X17" s="195">
        <f>IFERROR(V17/W17-1,"")</f>
        <v>0.22536313475220515</v>
      </c>
    </row>
    <row r="18" spans="5:24" ht="16.2" customHeight="1" thickTop="1" thickBot="1" x14ac:dyDescent="0.35">
      <c r="E18" s="291" t="s">
        <v>74</v>
      </c>
      <c r="F18" s="194" t="s">
        <v>59</v>
      </c>
      <c r="G18" s="287"/>
      <c r="H18" s="288"/>
      <c r="I18" s="289"/>
      <c r="J18" s="288"/>
      <c r="K18" s="288"/>
      <c r="L18" s="289"/>
      <c r="M18" s="288"/>
      <c r="N18" s="288"/>
      <c r="O18" s="289"/>
      <c r="P18" s="288"/>
      <c r="Q18" s="288"/>
      <c r="R18" s="289"/>
      <c r="S18" s="288"/>
      <c r="T18" s="288"/>
      <c r="U18" s="290"/>
      <c r="V18" s="292">
        <f>IFERROR(INDEX(DATA!$T:$T,MATCH(FOCUSYEAR&amp;".Employment."&amp;V$68,REP.lookup,0)),"")</f>
        <v>17736.62959128595</v>
      </c>
      <c r="W18" s="293">
        <f>IFERROR(INDEX(DATA!$T:$T,MATCH(COMPARISONYEAR&amp;".Employment."&amp;W$68,REP.lookup,0)),"")</f>
        <v>14650.568010064269</v>
      </c>
      <c r="X18" s="195">
        <f t="shared" si="0"/>
        <v>0.21064450054780792</v>
      </c>
    </row>
    <row r="19" spans="5:24" ht="16.2" customHeight="1" thickTop="1" thickBot="1" x14ac:dyDescent="0.35">
      <c r="E19" s="906" t="str">
        <f>"PERCENTAGE CHANGE BY VISITOR TYPE AND PERFORMANCE MEASURE - COMPARING "&amp;FOCUSYEAR&amp;" &amp; "&amp;COMPARISONYEAR&amp;IF(REP.indexed="YES"," - INDEXED TO "&amp;FOCUSYEAR," - IN HISTORIC PRICES")</f>
        <v>PERCENTAGE CHANGE BY VISITOR TYPE AND PERFORMANCE MEASURE - COMPARING 2022 &amp; 2021 - INDEXED TO 2022</v>
      </c>
      <c r="F19" s="907"/>
      <c r="G19" s="907"/>
      <c r="H19" s="907"/>
      <c r="I19" s="907"/>
      <c r="J19" s="907"/>
      <c r="K19" s="907"/>
      <c r="L19" s="907"/>
      <c r="M19" s="907"/>
      <c r="N19" s="907"/>
      <c r="O19" s="907"/>
      <c r="P19" s="907"/>
      <c r="Q19" s="907"/>
      <c r="R19" s="907"/>
      <c r="S19" s="907"/>
      <c r="T19" s="907"/>
      <c r="U19" s="907"/>
      <c r="V19" s="907"/>
      <c r="W19" s="907"/>
      <c r="X19" s="908"/>
    </row>
    <row r="20" spans="5:24" ht="16.2" customHeight="1" thickTop="1" thickBot="1" x14ac:dyDescent="0.35">
      <c r="E20" s="872" t="s">
        <v>90</v>
      </c>
      <c r="F20" s="873"/>
      <c r="G20" s="874" t="s">
        <v>110</v>
      </c>
      <c r="H20" s="874"/>
      <c r="I20" s="874"/>
      <c r="J20" s="875" t="s">
        <v>111</v>
      </c>
      <c r="K20" s="875"/>
      <c r="L20" s="875"/>
      <c r="M20" s="876" t="s">
        <v>18</v>
      </c>
      <c r="N20" s="876"/>
      <c r="O20" s="876"/>
      <c r="P20" s="877" t="s">
        <v>95</v>
      </c>
      <c r="Q20" s="877"/>
      <c r="R20" s="877"/>
      <c r="S20" s="878" t="s">
        <v>97</v>
      </c>
      <c r="T20" s="878"/>
      <c r="U20" s="878"/>
      <c r="V20" s="879" t="s">
        <v>96</v>
      </c>
      <c r="W20" s="879"/>
      <c r="X20" s="879"/>
    </row>
    <row r="21" spans="5:24" ht="24" customHeight="1" thickTop="1" thickBot="1" x14ac:dyDescent="0.35">
      <c r="E21" s="880" t="s">
        <v>171</v>
      </c>
      <c r="F21" s="881"/>
      <c r="G21" s="295"/>
      <c r="H21" s="296"/>
      <c r="I21" s="297"/>
      <c r="J21" s="295"/>
      <c r="K21" s="296"/>
      <c r="L21" s="297"/>
      <c r="M21" s="295"/>
      <c r="N21" s="296"/>
      <c r="O21" s="297"/>
      <c r="P21" s="295"/>
      <c r="Q21" s="296"/>
      <c r="R21" s="296"/>
      <c r="S21" s="295"/>
      <c r="T21" s="296"/>
      <c r="U21" s="297"/>
      <c r="V21" s="296"/>
      <c r="W21" s="296"/>
      <c r="X21" s="297"/>
    </row>
    <row r="22" spans="5:24" ht="24" customHeight="1" thickTop="1" thickBot="1" x14ac:dyDescent="0.35">
      <c r="E22" s="882" t="s">
        <v>172</v>
      </c>
      <c r="F22" s="883"/>
      <c r="G22" s="298"/>
      <c r="H22" s="182"/>
      <c r="I22" s="299"/>
      <c r="J22" s="298"/>
      <c r="K22" s="182"/>
      <c r="L22" s="299"/>
      <c r="M22" s="298"/>
      <c r="N22" s="182"/>
      <c r="O22" s="299"/>
      <c r="P22" s="298"/>
      <c r="Q22" s="182"/>
      <c r="R22" s="182"/>
      <c r="S22" s="298"/>
      <c r="T22" s="182"/>
      <c r="U22" s="299"/>
      <c r="V22" s="182"/>
      <c r="W22" s="182"/>
      <c r="X22" s="299"/>
    </row>
    <row r="23" spans="5:24" ht="24" customHeight="1" thickTop="1" thickBot="1" x14ac:dyDescent="0.35">
      <c r="E23" s="884" t="s">
        <v>75</v>
      </c>
      <c r="F23" s="885"/>
      <c r="G23" s="298"/>
      <c r="H23" s="182"/>
      <c r="I23" s="299"/>
      <c r="J23" s="298"/>
      <c r="K23" s="182"/>
      <c r="L23" s="299"/>
      <c r="M23" s="298"/>
      <c r="N23" s="182"/>
      <c r="O23" s="299"/>
      <c r="P23" s="298"/>
      <c r="Q23" s="182"/>
      <c r="R23" s="182"/>
      <c r="S23" s="298"/>
      <c r="T23" s="182"/>
      <c r="U23" s="299"/>
      <c r="V23" s="182"/>
      <c r="W23" s="182"/>
      <c r="X23" s="299"/>
    </row>
    <row r="24" spans="5:24" ht="24" customHeight="1" thickTop="1" thickBot="1" x14ac:dyDescent="0.35">
      <c r="E24" s="886" t="s">
        <v>55</v>
      </c>
      <c r="F24" s="887"/>
      <c r="G24" s="300"/>
      <c r="H24" s="183"/>
      <c r="I24" s="301"/>
      <c r="J24" s="300"/>
      <c r="K24" s="183"/>
      <c r="L24" s="301"/>
      <c r="M24" s="300"/>
      <c r="N24" s="183"/>
      <c r="O24" s="301"/>
      <c r="P24" s="300"/>
      <c r="Q24" s="183"/>
      <c r="R24" s="183"/>
      <c r="S24" s="300"/>
      <c r="T24" s="183"/>
      <c r="U24" s="301"/>
      <c r="V24" s="183"/>
      <c r="W24" s="183"/>
      <c r="X24" s="301"/>
    </row>
    <row r="25" spans="5:24" ht="16.2" customHeight="1" thickTop="1" thickBot="1" x14ac:dyDescent="0.35">
      <c r="E25" s="863" t="str">
        <f>"Sectoral Distribution of Economic Impact - "&amp;$F$16&amp;" including VAT "&amp;IF(REP.indexed="YES","Indexed to "&amp;FOCUSYEAR,"in Historic Prices ")</f>
        <v>Sectoral Distribution of Economic Impact - £Bn including VAT Indexed to 2022</v>
      </c>
      <c r="F25" s="864"/>
      <c r="G25" s="864"/>
      <c r="H25" s="864"/>
      <c r="I25" s="864"/>
      <c r="J25" s="864"/>
      <c r="K25" s="864"/>
      <c r="L25" s="865"/>
      <c r="M25" s="866" t="s">
        <v>114</v>
      </c>
      <c r="N25" s="866"/>
      <c r="O25" s="866"/>
      <c r="P25" s="869" t="s">
        <v>138</v>
      </c>
      <c r="Q25" s="870"/>
      <c r="R25" s="870"/>
      <c r="S25" s="870"/>
      <c r="T25" s="870"/>
      <c r="U25" s="870"/>
      <c r="V25" s="870"/>
      <c r="W25" s="870"/>
      <c r="X25" s="871"/>
    </row>
    <row r="26" spans="5:24" ht="16.2" customHeight="1" thickTop="1" thickBot="1" x14ac:dyDescent="0.35">
      <c r="E26" s="298"/>
      <c r="F26" s="182"/>
      <c r="G26" s="182"/>
      <c r="H26" s="182"/>
      <c r="I26" s="182"/>
      <c r="J26" s="281">
        <f>FOCUSYEAR</f>
        <v>2022</v>
      </c>
      <c r="K26" s="282">
        <f>COMPARISONYEAR</f>
        <v>2021</v>
      </c>
      <c r="L26" s="302" t="s">
        <v>113</v>
      </c>
      <c r="M26" s="867"/>
      <c r="N26" s="866"/>
      <c r="O26" s="868"/>
      <c r="P26" s="281">
        <f>FOCUSYEAR</f>
        <v>2022</v>
      </c>
      <c r="Q26" s="282">
        <f>COMPARISONYEAR</f>
        <v>2021</v>
      </c>
      <c r="R26" s="303" t="s">
        <v>113</v>
      </c>
      <c r="S26" s="182"/>
      <c r="T26" s="182"/>
      <c r="U26" s="182"/>
      <c r="V26" s="182"/>
      <c r="W26" s="182"/>
      <c r="X26" s="299"/>
    </row>
    <row r="27" spans="5:24" ht="16.2" customHeight="1" thickTop="1" thickBot="1" x14ac:dyDescent="0.35">
      <c r="E27" s="298"/>
      <c r="F27" s="182"/>
      <c r="G27" s="182"/>
      <c r="H27" s="182"/>
      <c r="I27" s="182"/>
      <c r="J27" s="655">
        <f>VLOOKUP(FOCUSYEAR&amp;".Economic Impact."&amp;$M27,REP.data,18,FALSE)*(1+VLOOKUP(FOCUSYEAR&amp;".economic impact."&amp;"VAT",REP.data,18,FALSE)/VLOOKUP(FOCUSYEAR&amp;".economic impact."&amp;"DIRECT REVENUE",REP.data,18,FALSE))*IF(REP.indexed="YES",INDEX(REP.indexationtoFOCUSYEAR,FOCUSYEAR.no),1)/$A$2</f>
        <v>0.31344752428147149</v>
      </c>
      <c r="K27" s="656">
        <f>VLOOKUP(COMPARISONYEAR&amp;".Economic Impact."&amp;$M27,REP.data,18,FALSE)*(1+VLOOKUP(COMPARISONYEAR&amp;".economic impact."&amp;"VAT",REP.data,18,FALSE)/VLOOKUP(COMPARISONYEAR&amp;".economic impact."&amp;"DIRECT REVENUE",REP.data,18,FALSE))*INDEX(REP.indexationtoFOCUSYEAR,MATCH(VALUE(COMPARISONYEAR),REP.yearsrange))/$A$2</f>
        <v>0.30064037423965301</v>
      </c>
      <c r="L27" s="195">
        <f>IFERROR(J27/K27-1,"")</f>
        <v>4.2599567919674675E-2</v>
      </c>
      <c r="M27" s="900" t="s">
        <v>23</v>
      </c>
      <c r="N27" s="901"/>
      <c r="O27" s="902"/>
      <c r="P27" s="292">
        <f>VLOOKUP(FOCUSYEAR&amp;".Employment."&amp;$M27,REP.data,18,FALSE)</f>
        <v>5875.3451959867552</v>
      </c>
      <c r="Q27" s="293">
        <f>VLOOKUP(COMPARISONYEAR&amp;".Employment."&amp;$M27,REP.data,18,FALSE)</f>
        <v>4819.580865664605</v>
      </c>
      <c r="R27" s="195">
        <f>IFERROR(P27/Q27-1,"")</f>
        <v>0.21905729144282415</v>
      </c>
      <c r="S27" s="182"/>
      <c r="T27" s="182"/>
      <c r="U27" s="182"/>
      <c r="V27" s="182"/>
      <c r="W27" s="182"/>
      <c r="X27" s="299"/>
    </row>
    <row r="28" spans="5:24" ht="16.2" customHeight="1" thickTop="1" thickBot="1" x14ac:dyDescent="0.35">
      <c r="E28" s="298"/>
      <c r="F28" s="182"/>
      <c r="G28" s="182"/>
      <c r="H28" s="182"/>
      <c r="I28" s="182"/>
      <c r="J28" s="655">
        <f>VLOOKUP(FOCUSYEAR&amp;".Economic Impact."&amp;$M28,REP.data,18,FALSE)*(1+VLOOKUP(FOCUSYEAR&amp;".economic impact."&amp;"VAT",REP.data,18,FALSE)/VLOOKUP(FOCUSYEAR&amp;".economic impact."&amp;"DIRECT REVENUE",REP.data,18,FALSE))*IF(REP.indexed="YES",INDEX(REP.indexationtoFOCUSYEAR,FOCUSYEAR.no),1)/$A$2</f>
        <v>0.25830748019769967</v>
      </c>
      <c r="K28" s="656">
        <f>VLOOKUP(COMPARISONYEAR&amp;".Economic Impact."&amp;$M28,REP.data,18,FALSE)*(1+VLOOKUP(COMPARISONYEAR&amp;".economic impact."&amp;"VAT",REP.data,18,FALSE)/VLOOKUP(COMPARISONYEAR&amp;".economic impact."&amp;"DIRECT REVENUE",REP.data,18,FALSE))*INDEX(REP.indexationtoFOCUSYEAR,MATCH(VALUE(COMPARISONYEAR),REP.yearsrange))/$A$2</f>
        <v>0.1977021056204348</v>
      </c>
      <c r="L28" s="195">
        <f t="shared" ref="L28:L34" si="1">IFERROR(J28/K28-1,"")</f>
        <v>0.30654895853067021</v>
      </c>
      <c r="M28" s="900" t="s">
        <v>49</v>
      </c>
      <c r="N28" s="901"/>
      <c r="O28" s="902"/>
      <c r="P28" s="292">
        <f>VLOOKUP(FOCUSYEAR&amp;".Employment."&amp;$M28,REP.data,18,FALSE)</f>
        <v>3399.8450586470121</v>
      </c>
      <c r="Q28" s="293">
        <f>VLOOKUP(COMPARISONYEAR&amp;".Employment."&amp;$M28,REP.data,18,FALSE)</f>
        <v>2920.7012257633965</v>
      </c>
      <c r="R28" s="195">
        <f t="shared" ref="R28:R34" si="2">IFERROR(P28/Q28-1,"")</f>
        <v>0.16405095757727839</v>
      </c>
      <c r="S28" s="182"/>
      <c r="T28" s="182"/>
      <c r="U28" s="182"/>
      <c r="V28" s="182"/>
      <c r="W28" s="182"/>
      <c r="X28" s="299"/>
    </row>
    <row r="29" spans="5:24" ht="16.2" customHeight="1" thickTop="1" thickBot="1" x14ac:dyDescent="0.35">
      <c r="E29" s="298"/>
      <c r="F29" s="182"/>
      <c r="G29" s="182"/>
      <c r="H29" s="182"/>
      <c r="I29" s="182"/>
      <c r="J29" s="655">
        <f>VLOOKUP(FOCUSYEAR&amp;".Economic Impact."&amp;$M29,REP.data,18,FALSE)*(1+VLOOKUP(FOCUSYEAR&amp;".economic impact."&amp;"VAT",REP.data,18,FALSE)/VLOOKUP(FOCUSYEAR&amp;".economic impact."&amp;"DIRECT REVENUE",REP.data,18,FALSE))*IF(REP.indexed="YES",INDEX(REP.indexationtoFOCUSYEAR,FOCUSYEAR.no),1)/$A$2</f>
        <v>9.0612952564549223E-2</v>
      </c>
      <c r="K29" s="656">
        <f>VLOOKUP(COMPARISONYEAR&amp;".Economic Impact."&amp;$M29,REP.data,18,FALSE)*(1+VLOOKUP(COMPARISONYEAR&amp;".economic impact."&amp;"VAT",REP.data,18,FALSE)/VLOOKUP(COMPARISONYEAR&amp;".economic impact."&amp;"DIRECT REVENUE",REP.data,18,FALSE))*INDEX(REP.indexationtoFOCUSYEAR,MATCH(VALUE(COMPARISONYEAR),REP.yearsrange))/$A$2</f>
        <v>8.0546573374437894E-2</v>
      </c>
      <c r="L29" s="195">
        <f t="shared" si="1"/>
        <v>0.12497588374511759</v>
      </c>
      <c r="M29" s="900" t="s">
        <v>50</v>
      </c>
      <c r="N29" s="901"/>
      <c r="O29" s="902"/>
      <c r="P29" s="292">
        <f>VLOOKUP(FOCUSYEAR&amp;".Employment."&amp;$M29,REP.data,18,FALSE)</f>
        <v>1102.5079334790339</v>
      </c>
      <c r="Q29" s="293">
        <f>VLOOKUP(COMPARISONYEAR&amp;".Employment."&amp;$M29,REP.data,18,FALSE)</f>
        <v>1042.3859095723294</v>
      </c>
      <c r="R29" s="195">
        <f t="shared" si="2"/>
        <v>5.7677318308505754E-2</v>
      </c>
      <c r="S29" s="182"/>
      <c r="T29" s="182"/>
      <c r="U29" s="182"/>
      <c r="V29" s="182"/>
      <c r="W29" s="182"/>
      <c r="X29" s="299"/>
    </row>
    <row r="30" spans="5:24" ht="16.2" customHeight="1" thickTop="1" thickBot="1" x14ac:dyDescent="0.35">
      <c r="E30" s="298"/>
      <c r="F30" s="182"/>
      <c r="G30" s="182"/>
      <c r="H30" s="182"/>
      <c r="I30" s="182"/>
      <c r="J30" s="655">
        <f>VLOOKUP(FOCUSYEAR&amp;".Economic Impact."&amp;$M30,REP.data,18,FALSE)*(1+VLOOKUP(FOCUSYEAR&amp;".economic impact."&amp;"VAT",REP.data,18,FALSE)/VLOOKUP(FOCUSYEAR&amp;".economic impact."&amp;"DIRECT REVENUE",REP.data,18,FALSE))*IF(REP.indexed="YES",INDEX(REP.indexationtoFOCUSYEAR,FOCUSYEAR.no),1)/$A$2</f>
        <v>0.33697564990940443</v>
      </c>
      <c r="K30" s="656">
        <f>VLOOKUP(COMPARISONYEAR&amp;".Economic Impact."&amp;$M30,REP.data,18,FALSE)*(1+VLOOKUP(COMPARISONYEAR&amp;".economic impact."&amp;"VAT",REP.data,18,FALSE)/VLOOKUP(COMPARISONYEAR&amp;".economic impact."&amp;"DIRECT REVENUE",REP.data,18,FALSE))*INDEX(REP.indexationtoFOCUSYEAR,MATCH(VALUE(COMPARISONYEAR),REP.yearsrange))/$A$2</f>
        <v>0.23769321294525766</v>
      </c>
      <c r="L30" s="195">
        <f t="shared" si="1"/>
        <v>0.41769150971513924</v>
      </c>
      <c r="M30" s="900" t="s">
        <v>51</v>
      </c>
      <c r="N30" s="901"/>
      <c r="O30" s="902"/>
      <c r="P30" s="292">
        <f>VLOOKUP(FOCUSYEAR&amp;".Employment."&amp;$M30,REP.data,18,FALSE)</f>
        <v>3334.7940742874412</v>
      </c>
      <c r="Q30" s="293">
        <f>VLOOKUP(COMPARISONYEAR&amp;".Employment."&amp;$M30,REP.data,18,FALSE)</f>
        <v>2426.350600779444</v>
      </c>
      <c r="R30" s="195">
        <f t="shared" si="2"/>
        <v>0.37440733965494011</v>
      </c>
      <c r="S30" s="182"/>
      <c r="T30" s="182"/>
      <c r="U30" s="182"/>
      <c r="V30" s="182"/>
      <c r="W30" s="182"/>
      <c r="X30" s="299"/>
    </row>
    <row r="31" spans="5:24" ht="16.2" customHeight="1" thickTop="1" thickBot="1" x14ac:dyDescent="0.35">
      <c r="E31" s="298"/>
      <c r="F31" s="182"/>
      <c r="G31" s="182"/>
      <c r="H31" s="182"/>
      <c r="I31" s="182"/>
      <c r="J31" s="655">
        <f>VLOOKUP(FOCUSYEAR&amp;".Economic Impact."&amp;$M31,REP.data,18,FALSE)*(1+VLOOKUP(FOCUSYEAR&amp;".economic impact."&amp;"VAT",REP.data,18,FALSE)/VLOOKUP(FOCUSYEAR&amp;".economic impact."&amp;"DIRECT REVENUE",REP.data,18,FALSE))*IF(REP.indexed="YES",INDEX(REP.indexationtoFOCUSYEAR,FOCUSYEAR.no),1)/$A$2</f>
        <v>0.11967912741589729</v>
      </c>
      <c r="K31" s="656">
        <f>VLOOKUP(COMPARISONYEAR&amp;".Economic Impact."&amp;$M31,REP.data,18,FALSE)*(1+VLOOKUP(COMPARISONYEAR&amp;".economic impact."&amp;"VAT",REP.data,18,FALSE)/VLOOKUP(COMPARISONYEAR&amp;".economic impact."&amp;"DIRECT REVENUE",REP.data,18,FALSE))*INDEX(REP.indexationtoFOCUSYEAR,MATCH(VALUE(COMPARISONYEAR),REP.yearsrange))/$A$2</f>
        <v>8.9290310975178852E-2</v>
      </c>
      <c r="L31" s="195">
        <f t="shared" si="1"/>
        <v>0.34033722258136145</v>
      </c>
      <c r="M31" s="900" t="s">
        <v>52</v>
      </c>
      <c r="N31" s="901"/>
      <c r="O31" s="902"/>
      <c r="P31" s="292">
        <f>VLOOKUP(FOCUSYEAR&amp;".Employment."&amp;$M31,REP.data,18,FALSE)</f>
        <v>571.52506817873223</v>
      </c>
      <c r="Q31" s="293">
        <f>VLOOKUP(COMPARISONYEAR&amp;".Employment."&amp;$M31,REP.data,18,FALSE)</f>
        <v>447.94815809219722</v>
      </c>
      <c r="R31" s="195">
        <f t="shared" si="2"/>
        <v>0.27587324080725484</v>
      </c>
      <c r="S31" s="182"/>
      <c r="T31" s="182"/>
      <c r="U31" s="182"/>
      <c r="V31" s="182"/>
      <c r="W31" s="182"/>
      <c r="X31" s="299"/>
    </row>
    <row r="32" spans="5:24" ht="16.2" customHeight="1" thickTop="1" thickBot="1" x14ac:dyDescent="0.35">
      <c r="E32" s="298"/>
      <c r="F32" s="182"/>
      <c r="G32" s="182"/>
      <c r="H32" s="182"/>
      <c r="I32" s="182"/>
      <c r="J32" s="657">
        <f>SUM(J27:J31)</f>
        <v>1.1190227343690222</v>
      </c>
      <c r="K32" s="659">
        <f>SUM(K27:K31)</f>
        <v>0.90587257715496228</v>
      </c>
      <c r="L32" s="304">
        <f t="shared" si="1"/>
        <v>0.23529816730239483</v>
      </c>
      <c r="M32" s="903" t="s">
        <v>89</v>
      </c>
      <c r="N32" s="904"/>
      <c r="O32" s="905"/>
      <c r="P32" s="305">
        <f>SUM(P27:P31)</f>
        <v>14284.017330578976</v>
      </c>
      <c r="Q32" s="306">
        <f>SUM(Q27:Q31)</f>
        <v>11656.966759871972</v>
      </c>
      <c r="R32" s="304">
        <f t="shared" si="2"/>
        <v>0.22536313475220515</v>
      </c>
      <c r="S32" s="182"/>
      <c r="T32" s="182"/>
      <c r="U32" s="182"/>
      <c r="V32" s="182"/>
      <c r="W32" s="182"/>
      <c r="X32" s="299"/>
    </row>
    <row r="33" spans="4:24" ht="16.2" customHeight="1" thickTop="1" thickBot="1" x14ac:dyDescent="0.35">
      <c r="E33" s="298"/>
      <c r="F33" s="182"/>
      <c r="G33" s="182"/>
      <c r="H33" s="182"/>
      <c r="I33" s="182"/>
      <c r="J33" s="655">
        <f>J34-J32</f>
        <v>0.40441863660647326</v>
      </c>
      <c r="K33" s="656">
        <f>K34-K32</f>
        <v>0.33071052027128944</v>
      </c>
      <c r="L33" s="195">
        <f t="shared" si="1"/>
        <v>0.22287805139890726</v>
      </c>
      <c r="M33" s="894" t="s">
        <v>115</v>
      </c>
      <c r="N33" s="895"/>
      <c r="O33" s="896"/>
      <c r="P33" s="292">
        <f>P34-P32</f>
        <v>3452.6122607069738</v>
      </c>
      <c r="Q33" s="293">
        <f>Q34-Q32</f>
        <v>2993.6012501922978</v>
      </c>
      <c r="R33" s="195">
        <f t="shared" si="2"/>
        <v>0.15333071179242408</v>
      </c>
      <c r="S33" s="182"/>
      <c r="T33" s="182"/>
      <c r="U33" s="182"/>
      <c r="V33" s="182"/>
      <c r="W33" s="182"/>
      <c r="X33" s="299"/>
    </row>
    <row r="34" spans="4:24" ht="16.2" customHeight="1" thickTop="1" thickBot="1" x14ac:dyDescent="0.35">
      <c r="E34" s="298"/>
      <c r="F34" s="182"/>
      <c r="G34" s="182"/>
      <c r="H34" s="182"/>
      <c r="I34" s="182"/>
      <c r="J34" s="658">
        <f>VLOOKUP(FOCUSYEAR&amp;".economic impact."&amp;$M34,REP.data,18,FALSE)*INDEX(REP.indexationtoFOCUSYEAR,MATCH(VALUE(FOCUSYEAR),REP.yearsrange))/$A$2</f>
        <v>1.5234413709754955</v>
      </c>
      <c r="K34" s="660">
        <f>VLOOKUP(COMPARISONYEAR&amp;".economic impact."&amp;$M34,REP.data,18,FALSE)*INDEX(REP.indexationtoFOCUSYEAR,MATCH(VALUE(COMPARISONYEAR),REP.yearsrange))/$A$2</f>
        <v>1.2365830974262517</v>
      </c>
      <c r="L34" s="304">
        <f t="shared" si="1"/>
        <v>0.23197654419366809</v>
      </c>
      <c r="M34" s="897" t="s">
        <v>38</v>
      </c>
      <c r="N34" s="898"/>
      <c r="O34" s="899"/>
      <c r="P34" s="307">
        <f>VLOOKUP(FOCUSYEAR&amp;".Employment."&amp;$M34,REP.data,18,FALSE)</f>
        <v>17736.62959128595</v>
      </c>
      <c r="Q34" s="308">
        <f>VLOOKUP(COMPARISONYEAR&amp;".Employment."&amp;$M34,REP.data,18,FALSE)</f>
        <v>14650.568010064269</v>
      </c>
      <c r="R34" s="304">
        <f t="shared" si="2"/>
        <v>0.21064450054780792</v>
      </c>
      <c r="S34" s="182"/>
      <c r="T34" s="182"/>
      <c r="U34" s="182"/>
      <c r="V34" s="182"/>
      <c r="W34" s="182"/>
      <c r="X34" s="299"/>
    </row>
    <row r="35" spans="4:24" ht="15.75" customHeight="1" thickTop="1" thickBot="1" x14ac:dyDescent="0.35">
      <c r="E35" s="298"/>
      <c r="F35" s="182"/>
      <c r="G35" s="182"/>
      <c r="H35" s="182"/>
      <c r="I35" s="182"/>
      <c r="J35" s="675" t="str">
        <f>IF(ROUND(J32,0)&lt;&gt;ROUND(V15,0),"ERROR","")</f>
        <v/>
      </c>
      <c r="K35" s="675" t="str">
        <f>IF(ROUND(K32,0)&lt;&gt;ROUND(W15,0),"ERROR","")</f>
        <v/>
      </c>
      <c r="L35" s="167"/>
      <c r="M35" s="674"/>
      <c r="N35" s="674"/>
      <c r="O35" s="674"/>
      <c r="P35" s="675" t="str">
        <f>IF(ROUND(P32,0)&lt;&gt;ROUND(V17,0),"ERROR","")</f>
        <v/>
      </c>
      <c r="Q35" s="675" t="str">
        <f>IF(ROUND(Q32,0)&lt;&gt;ROUND(W17,0),"ERROR","")</f>
        <v/>
      </c>
      <c r="R35" s="673"/>
      <c r="S35" s="182"/>
      <c r="T35" s="182"/>
      <c r="U35" s="182"/>
      <c r="V35" s="182"/>
      <c r="W35" s="182"/>
      <c r="X35" s="299"/>
    </row>
    <row r="36" spans="4:24" s="174" customFormat="1" ht="16.2" customHeight="1" thickTop="1" thickBot="1" x14ac:dyDescent="0.2">
      <c r="D36" s="170"/>
      <c r="E36" s="171" t="str">
        <f>REP.footer1</f>
        <v>This report is copyright © Global Tourism Solutions (UK) Ltd 2023</v>
      </c>
      <c r="F36" s="172"/>
      <c r="G36" s="172"/>
      <c r="H36" s="172"/>
      <c r="I36" s="172"/>
      <c r="J36" s="172"/>
      <c r="K36" s="172"/>
      <c r="L36" s="172"/>
      <c r="M36" s="172"/>
      <c r="N36" s="172"/>
      <c r="O36" s="172"/>
      <c r="P36" s="172"/>
      <c r="Q36" s="172"/>
      <c r="R36" s="172"/>
      <c r="S36" s="172"/>
      <c r="T36" s="172"/>
      <c r="U36" s="172"/>
      <c r="V36" s="172"/>
      <c r="W36" s="172"/>
      <c r="X36" s="173" t="str">
        <f>REP.footer2</f>
        <v>Report Prepared by: Cathy James. Date of Issue: 14/08/23</v>
      </c>
    </row>
    <row r="37" spans="4:24" ht="16.2" customHeight="1" thickTop="1" x14ac:dyDescent="0.3"/>
    <row r="68" spans="7:23" ht="16.2" customHeight="1" x14ac:dyDescent="0.3">
      <c r="G68" s="111" t="s">
        <v>43</v>
      </c>
      <c r="H68" s="111" t="s">
        <v>43</v>
      </c>
      <c r="J68" s="111" t="s">
        <v>48</v>
      </c>
      <c r="K68" s="111" t="s">
        <v>48</v>
      </c>
      <c r="M68" s="111" t="s">
        <v>18</v>
      </c>
      <c r="N68" s="111" t="s">
        <v>18</v>
      </c>
      <c r="P68" s="111" t="s">
        <v>95</v>
      </c>
      <c r="S68" s="111" t="s">
        <v>71</v>
      </c>
      <c r="T68" s="111" t="s">
        <v>71</v>
      </c>
      <c r="V68" s="111" t="s">
        <v>54</v>
      </c>
      <c r="W68" s="111" t="s">
        <v>54</v>
      </c>
    </row>
  </sheetData>
  <sheetProtection algorithmName="SHA-512" hashValue="EHBXGaUgVcedGIjpgItDMofSD+WbVxTmHzPJ+JTIWzVSbcsKTlKocws9o7ggu8W1QGUF/Y2nksgR6nDS2HwJ+Q==" saltValue="64Brx24wjojvVXLq9L0KGg==" spinCount="100000" sheet="1" objects="1" scenarios="1"/>
  <mergeCells count="38">
    <mergeCell ref="S6:X7"/>
    <mergeCell ref="M33:O33"/>
    <mergeCell ref="M34:O34"/>
    <mergeCell ref="M27:O27"/>
    <mergeCell ref="M28:O28"/>
    <mergeCell ref="M29:O29"/>
    <mergeCell ref="M30:O30"/>
    <mergeCell ref="M31:O31"/>
    <mergeCell ref="M32:O32"/>
    <mergeCell ref="E19:X19"/>
    <mergeCell ref="P6:R6"/>
    <mergeCell ref="P7:R7"/>
    <mergeCell ref="E8:X8"/>
    <mergeCell ref="E9:F9"/>
    <mergeCell ref="P9:R11"/>
    <mergeCell ref="S9:U11"/>
    <mergeCell ref="E25:L25"/>
    <mergeCell ref="M25:O26"/>
    <mergeCell ref="P25:X25"/>
    <mergeCell ref="E20:F20"/>
    <mergeCell ref="G20:I20"/>
    <mergeCell ref="J20:L20"/>
    <mergeCell ref="M20:O20"/>
    <mergeCell ref="P20:R20"/>
    <mergeCell ref="S20:U20"/>
    <mergeCell ref="V20:X20"/>
    <mergeCell ref="E21:F21"/>
    <mergeCell ref="E22:F22"/>
    <mergeCell ref="E23:F23"/>
    <mergeCell ref="E24:F24"/>
    <mergeCell ref="E12:F12"/>
    <mergeCell ref="V9:X11"/>
    <mergeCell ref="E10:F10"/>
    <mergeCell ref="G10:L10"/>
    <mergeCell ref="M10:O11"/>
    <mergeCell ref="E11:F11"/>
    <mergeCell ref="G11:I11"/>
    <mergeCell ref="J11:L11"/>
  </mergeCells>
  <conditionalFormatting sqref="G13:H14">
    <cfRule type="expression" dxfId="187" priority="55">
      <formula>G13&lt;10</formula>
    </cfRule>
  </conditionalFormatting>
  <conditionalFormatting sqref="G16:H16">
    <cfRule type="expression" dxfId="186" priority="51">
      <formula>G16&lt;10</formula>
    </cfRule>
  </conditionalFormatting>
  <conditionalFormatting sqref="I13:I18">
    <cfRule type="cellIs" dxfId="185" priority="56" operator="greaterThanOrEqual">
      <formula>REP.percenthighlight</formula>
    </cfRule>
    <cfRule type="cellIs" dxfId="184" priority="57" operator="lessThanOrEqual">
      <formula>-REP.percenthighlight</formula>
    </cfRule>
  </conditionalFormatting>
  <conditionalFormatting sqref="J13:K14">
    <cfRule type="expression" dxfId="183" priority="4">
      <formula>J13&lt;10</formula>
    </cfRule>
  </conditionalFormatting>
  <conditionalFormatting sqref="J16:K34">
    <cfRule type="expression" dxfId="182" priority="3">
      <formula>J16&lt;10</formula>
    </cfRule>
  </conditionalFormatting>
  <conditionalFormatting sqref="J35:K35">
    <cfRule type="expression" dxfId="181" priority="53">
      <formula>J35="ERROR"</formula>
    </cfRule>
  </conditionalFormatting>
  <conditionalFormatting sqref="L13:L18">
    <cfRule type="cellIs" dxfId="180" priority="24" operator="greaterThanOrEqual">
      <formula>REP.percenthighlight</formula>
    </cfRule>
    <cfRule type="cellIs" dxfId="179" priority="25" operator="lessThanOrEqual">
      <formula>-REP.percenthighlight</formula>
    </cfRule>
  </conditionalFormatting>
  <conditionalFormatting sqref="L27:L35 R27:R35">
    <cfRule type="cellIs" dxfId="178" priority="59" operator="greaterThanOrEqual">
      <formula>REP.percenthighlight</formula>
    </cfRule>
    <cfRule type="cellIs" dxfId="177" priority="60" operator="lessThanOrEqual">
      <formula>-REP.percenthighlight</formula>
    </cfRule>
  </conditionalFormatting>
  <conditionalFormatting sqref="M13:N14">
    <cfRule type="expression" dxfId="176" priority="2">
      <formula>M13&lt;10</formula>
    </cfRule>
  </conditionalFormatting>
  <conditionalFormatting sqref="M16:N16">
    <cfRule type="expression" dxfId="175" priority="1">
      <formula>M16&lt;10</formula>
    </cfRule>
  </conditionalFormatting>
  <conditionalFormatting sqref="O13:O18">
    <cfRule type="cellIs" dxfId="174" priority="20" operator="greaterThanOrEqual">
      <formula>REP.percenthighlight</formula>
    </cfRule>
    <cfRule type="cellIs" dxfId="173" priority="21" operator="lessThanOrEqual">
      <formula>-REP.percenthighlight</formula>
    </cfRule>
  </conditionalFormatting>
  <conditionalFormatting sqref="P13:Q14">
    <cfRule type="expression" dxfId="172" priority="36">
      <formula>P13&lt;10</formula>
    </cfRule>
  </conditionalFormatting>
  <conditionalFormatting sqref="P16:Q16">
    <cfRule type="expression" dxfId="171" priority="14">
      <formula>P16&lt;10</formula>
    </cfRule>
  </conditionalFormatting>
  <conditionalFormatting sqref="P35:Q35">
    <cfRule type="expression" dxfId="170" priority="52">
      <formula>P35="ERROR"</formula>
    </cfRule>
  </conditionalFormatting>
  <conditionalFormatting sqref="R13:R18">
    <cfRule type="cellIs" dxfId="169" priority="16" operator="greaterThanOrEqual">
      <formula>REP.percenthighlight</formula>
    </cfRule>
    <cfRule type="cellIs" dxfId="168" priority="17" operator="lessThanOrEqual">
      <formula>-REP.percenthighlight</formula>
    </cfRule>
  </conditionalFormatting>
  <conditionalFormatting sqref="S13:T14">
    <cfRule type="expression" dxfId="167" priority="31">
      <formula>S13&lt;10</formula>
    </cfRule>
  </conditionalFormatting>
  <conditionalFormatting sqref="S16:T16">
    <cfRule type="expression" dxfId="166" priority="10">
      <formula>S16&lt;10</formula>
    </cfRule>
  </conditionalFormatting>
  <conditionalFormatting sqref="U13:U18">
    <cfRule type="cellIs" dxfId="165" priority="12" operator="greaterThanOrEqual">
      <formula>REP.percenthighlight</formula>
    </cfRule>
    <cfRule type="cellIs" dxfId="164" priority="13" operator="lessThanOrEqual">
      <formula>-REP.percenthighlight</formula>
    </cfRule>
  </conditionalFormatting>
  <conditionalFormatting sqref="V13:W16">
    <cfRule type="expression" dxfId="163" priority="6">
      <formula>V13&lt;10</formula>
    </cfRule>
  </conditionalFormatting>
  <conditionalFormatting sqref="X13:X18">
    <cfRule type="cellIs" dxfId="162" priority="8" operator="greaterThanOrEqual">
      <formula>REP.percenthighlight</formula>
    </cfRule>
    <cfRule type="cellIs" dxfId="161" priority="9" operator="lessThanOrEqual">
      <formula>-REP.percenthighlight</formula>
    </cfRule>
  </conditionalFormatting>
  <printOptions horizontalCentered="1" verticalCentered="1"/>
  <pageMargins left="0.70866141732283472" right="0.70866141732283472" top="0.74803149606299213" bottom="0.74803149606299213" header="0.31496062992125984" footer="0.31496062992125984"/>
  <pageSetup paperSize="9" scale="89"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109573" r:id="rId4" name="Drop Down 5">
              <controlPr defaultSize="0" autoLine="0" autoPict="0">
                <anchor moveWithCells="1">
                  <from>
                    <xdr:col>21</xdr:col>
                    <xdr:colOff>190500</xdr:colOff>
                    <xdr:row>4</xdr:row>
                    <xdr:rowOff>22860</xdr:rowOff>
                  </from>
                  <to>
                    <xdr:col>22</xdr:col>
                    <xdr:colOff>274320</xdr:colOff>
                    <xdr:row>4</xdr:row>
                    <xdr:rowOff>297180</xdr:rowOff>
                  </to>
                </anchor>
              </controlPr>
            </control>
          </mc:Choice>
        </mc:AlternateContent>
        <mc:AlternateContent xmlns:mc="http://schemas.openxmlformats.org/markup-compatibility/2006">
          <mc:Choice Requires="x14">
            <control shapeId="109574" r:id="rId5" name="Drop Down 6">
              <controlPr defaultSize="0" autoLine="0" autoPict="0">
                <anchor moveWithCells="1">
                  <from>
                    <xdr:col>6</xdr:col>
                    <xdr:colOff>426720</xdr:colOff>
                    <xdr:row>4</xdr:row>
                    <xdr:rowOff>22860</xdr:rowOff>
                  </from>
                  <to>
                    <xdr:col>8</xdr:col>
                    <xdr:colOff>144780</xdr:colOff>
                    <xdr:row>4</xdr:row>
                    <xdr:rowOff>297180</xdr:rowOff>
                  </to>
                </anchor>
              </controlPr>
            </control>
          </mc:Choice>
        </mc:AlternateContent>
        <mc:AlternateContent xmlns:mc="http://schemas.openxmlformats.org/markup-compatibility/2006">
          <mc:Choice Requires="x14">
            <control shapeId="109575" r:id="rId6" name="Drop Down 7">
              <controlPr defaultSize="0" autoLine="0" autoPict="0">
                <anchor moveWithCells="1">
                  <from>
                    <xdr:col>16</xdr:col>
                    <xdr:colOff>83820</xdr:colOff>
                    <xdr:row>4</xdr:row>
                    <xdr:rowOff>22860</xdr:rowOff>
                  </from>
                  <to>
                    <xdr:col>17</xdr:col>
                    <xdr:colOff>297180</xdr:colOff>
                    <xdr:row>4</xdr:row>
                    <xdr:rowOff>297180</xdr:rowOff>
                  </to>
                </anchor>
              </controlPr>
            </control>
          </mc:Choice>
        </mc:AlternateContent>
        <mc:AlternateContent xmlns:mc="http://schemas.openxmlformats.org/markup-compatibility/2006">
          <mc:Choice Requires="x14">
            <control shapeId="109576" r:id="rId7" name="Drop Down 8">
              <controlPr defaultSize="0" autoLine="0" autoPict="0">
                <anchor moveWithCells="1">
                  <from>
                    <xdr:col>4</xdr:col>
                    <xdr:colOff>609600</xdr:colOff>
                    <xdr:row>4</xdr:row>
                    <xdr:rowOff>22860</xdr:rowOff>
                  </from>
                  <to>
                    <xdr:col>5</xdr:col>
                    <xdr:colOff>0</xdr:colOff>
                    <xdr:row>4</xdr:row>
                    <xdr:rowOff>297180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Output02">
    <tabColor theme="7"/>
    <outlinePr showOutlineSymbols="0"/>
    <pageSetUpPr autoPageBreaks="0" fitToPage="1"/>
  </sheetPr>
  <dimension ref="A1:Z70"/>
  <sheetViews>
    <sheetView showGridLines="0" showRowColHeaders="0" showZeros="0" showOutlineSymbols="0" topLeftCell="A2" zoomScaleNormal="100" workbookViewId="0">
      <pane ySplit="6" topLeftCell="A8" activePane="bottomLeft" state="frozen"/>
      <selection activeCell="M48" sqref="M48"/>
      <selection pane="bottomLeft" activeCell="AF24" sqref="AF24"/>
    </sheetView>
  </sheetViews>
  <sheetFormatPr defaultColWidth="4.88671875" defaultRowHeight="16.2" customHeight="1" x14ac:dyDescent="0.3"/>
  <cols>
    <col min="1" max="3" width="4.88671875" style="111"/>
    <col min="4" max="4" width="4.88671875" style="112"/>
    <col min="5" max="5" width="19.5546875" style="111" customWidth="1"/>
    <col min="6" max="6" width="5.109375" style="111" customWidth="1"/>
    <col min="7" max="24" width="7.33203125" style="111" customWidth="1"/>
    <col min="25" max="25" width="7.109375" style="111" bestFit="1" customWidth="1"/>
    <col min="26" max="26" width="8.44140625" style="111" bestFit="1" customWidth="1"/>
    <col min="27" max="16384" width="4.88671875" style="111"/>
  </cols>
  <sheetData>
    <row r="1" spans="1:26" ht="16.2" hidden="1" customHeight="1" thickTop="1" thickBot="1" x14ac:dyDescent="0.35">
      <c r="A1" s="110" t="str">
        <f ca="1">MID(CELL("filename",A1),FIND("]",CELL("filename",A1))+1,255)</f>
        <v>KEY MEASURES</v>
      </c>
      <c r="E1" s="113"/>
      <c r="F1" s="114"/>
      <c r="G1" s="114"/>
      <c r="H1" s="114"/>
      <c r="I1" s="114"/>
      <c r="J1" s="114"/>
      <c r="K1" s="114"/>
      <c r="L1" s="114"/>
      <c r="M1" s="114"/>
      <c r="N1" s="114"/>
      <c r="O1" s="114"/>
      <c r="P1" s="114"/>
      <c r="Q1" s="114"/>
      <c r="R1" s="114"/>
      <c r="S1" s="114"/>
      <c r="T1" s="114"/>
      <c r="U1" s="114"/>
      <c r="V1" s="114"/>
      <c r="W1" s="114"/>
      <c r="X1" s="115"/>
    </row>
    <row r="2" spans="1:26" ht="16.2" customHeight="1" thickTop="1" x14ac:dyDescent="0.3">
      <c r="E2" s="116"/>
      <c r="F2" s="117"/>
      <c r="G2" s="117"/>
      <c r="H2" s="117"/>
      <c r="I2" s="117"/>
      <c r="J2" s="117"/>
      <c r="K2" s="117"/>
      <c r="L2" s="117"/>
      <c r="M2" s="117"/>
      <c r="N2" s="117"/>
      <c r="O2" s="117"/>
      <c r="P2" s="117"/>
      <c r="Q2" s="117"/>
      <c r="R2" s="117"/>
      <c r="S2" s="117"/>
      <c r="T2" s="117"/>
      <c r="U2" s="117"/>
      <c r="V2" s="117"/>
      <c r="W2" s="117"/>
      <c r="X2" s="118"/>
    </row>
    <row r="3" spans="1:26" ht="26.4" customHeight="1" x14ac:dyDescent="0.3">
      <c r="E3" s="119"/>
      <c r="F3" s="120"/>
      <c r="G3" s="120"/>
      <c r="H3" s="120"/>
      <c r="I3" s="120"/>
      <c r="J3" s="120"/>
      <c r="K3" s="120"/>
      <c r="L3" s="120"/>
      <c r="M3" s="120"/>
      <c r="N3" s="120"/>
      <c r="O3" s="120"/>
      <c r="P3" s="120"/>
      <c r="Q3" s="120"/>
      <c r="R3" s="120"/>
      <c r="S3" s="120"/>
      <c r="T3" s="120"/>
      <c r="U3" s="120"/>
      <c r="V3" s="120"/>
      <c r="W3" s="120"/>
      <c r="X3" s="121"/>
    </row>
    <row r="4" spans="1:26" ht="26.4" customHeight="1" x14ac:dyDescent="0.3">
      <c r="E4" s="204"/>
      <c r="F4" s="205"/>
      <c r="G4" s="205"/>
      <c r="H4" s="205"/>
      <c r="I4" s="205"/>
      <c r="J4" s="205"/>
      <c r="K4" s="205"/>
      <c r="L4" s="205"/>
      <c r="M4" s="205"/>
      <c r="N4" s="205"/>
      <c r="O4" s="205"/>
      <c r="P4" s="205"/>
      <c r="Q4" s="205"/>
      <c r="R4" s="205"/>
      <c r="S4" s="205"/>
      <c r="T4" s="205"/>
      <c r="U4" s="205"/>
      <c r="V4" s="205"/>
      <c r="W4" s="205"/>
      <c r="X4" s="206"/>
    </row>
    <row r="5" spans="1:26" ht="26.4" customHeight="1" thickBot="1" x14ac:dyDescent="0.35">
      <c r="E5" s="207"/>
      <c r="F5" s="208"/>
      <c r="G5" s="208"/>
      <c r="H5" s="208"/>
      <c r="I5" s="208"/>
      <c r="J5" s="208"/>
      <c r="K5" s="208"/>
      <c r="L5" s="208"/>
      <c r="M5" s="208"/>
      <c r="N5" s="208"/>
      <c r="O5" s="208"/>
      <c r="P5" s="208"/>
      <c r="Q5" s="208"/>
      <c r="R5" s="208"/>
      <c r="S5" s="208"/>
      <c r="T5" s="208"/>
      <c r="U5" s="208"/>
      <c r="V5" s="208"/>
      <c r="W5" s="208"/>
      <c r="X5" s="209"/>
    </row>
    <row r="6" spans="1:26" ht="16.2" customHeight="1" thickTop="1" x14ac:dyDescent="0.3">
      <c r="E6" s="365" t="str">
        <f>REP.title1</f>
        <v>STEAM FINAL TREND REPORT FOR 2011-2022</v>
      </c>
      <c r="F6" s="393"/>
      <c r="G6" s="393"/>
      <c r="H6" s="393"/>
      <c r="I6" s="393"/>
      <c r="J6" s="393"/>
      <c r="K6" s="393"/>
      <c r="L6" s="393"/>
      <c r="M6" s="393"/>
      <c r="N6" s="393"/>
      <c r="O6" s="939" t="str">
        <f>MIN(REP.yearsrange)&amp;" to "&amp;MAX(REP.yearsrange)</f>
        <v>2011 to 2022</v>
      </c>
      <c r="P6" s="940"/>
      <c r="Q6" s="940"/>
      <c r="R6" s="941"/>
      <c r="S6" s="929" t="str">
        <f>UPPER(TYPE.userselected)</f>
        <v>TOTAL</v>
      </c>
      <c r="T6" s="930"/>
      <c r="U6" s="933" t="str">
        <f>IF(REP.indexed="YES","KEY MEASURES"&amp;CHAR(10)&amp;"Indexed","KEY MEASURES"&amp;CHAR(10)&amp;"Historic Prices")</f>
        <v>KEY MEASURES
Indexed</v>
      </c>
      <c r="V6" s="934"/>
      <c r="W6" s="934"/>
      <c r="X6" s="935"/>
    </row>
    <row r="7" spans="1:26" ht="16.2" customHeight="1" thickBot="1" x14ac:dyDescent="0.35">
      <c r="E7" s="366" t="str">
        <f>REP.title2</f>
        <v>GWYNEDD COUNCIL</v>
      </c>
      <c r="F7" s="367"/>
      <c r="G7" s="367"/>
      <c r="H7" s="367"/>
      <c r="I7" s="368"/>
      <c r="J7" s="368"/>
      <c r="K7" s="368"/>
      <c r="L7" s="368"/>
      <c r="M7" s="368"/>
      <c r="N7" s="368"/>
      <c r="O7" s="942" t="str">
        <f>IF(REP.indexed="YES",MAX(REP.yearsrange)&amp;" Prices","Historic Prices")</f>
        <v>2022 Prices</v>
      </c>
      <c r="P7" s="943"/>
      <c r="Q7" s="943"/>
      <c r="R7" s="944"/>
      <c r="S7" s="931"/>
      <c r="T7" s="932"/>
      <c r="U7" s="936"/>
      <c r="V7" s="937"/>
      <c r="W7" s="937"/>
      <c r="X7" s="938"/>
    </row>
    <row r="8" spans="1:26" ht="16.2" customHeight="1" thickTop="1" thickBot="1" x14ac:dyDescent="0.35">
      <c r="E8" s="863" t="str">
        <f>IF(REP.indexed="YES","Economic Impact - Indexed - ","Economic Impact - Historic Prices - ")&amp;TYPE.userselected</f>
        <v>Economic Impact - Indexed - Total</v>
      </c>
      <c r="F8" s="864"/>
      <c r="G8" s="864"/>
      <c r="H8" s="864"/>
      <c r="I8" s="864"/>
      <c r="J8" s="864"/>
      <c r="K8" s="864"/>
      <c r="L8" s="864"/>
      <c r="M8" s="864"/>
      <c r="N8" s="864"/>
      <c r="O8" s="926" t="str">
        <f ca="1">PROPER('VISITOR NUMBERS'!$U$6)&amp;" - "&amp;TYPE.userselected</f>
        <v>Visitor Numbers - Total</v>
      </c>
      <c r="P8" s="927"/>
      <c r="Q8" s="927"/>
      <c r="R8" s="927"/>
      <c r="S8" s="927"/>
      <c r="T8" s="927"/>
      <c r="U8" s="927"/>
      <c r="V8" s="927"/>
      <c r="W8" s="927"/>
      <c r="X8" s="928"/>
    </row>
    <row r="9" spans="1:26" s="125" customFormat="1" ht="16.2" customHeight="1" thickTop="1" thickBot="1" x14ac:dyDescent="0.35">
      <c r="E9" s="872" t="str">
        <f ca="1">'ECONOMIC IMPACT'!$P$7&amp;" "&amp;'ECONOMIC IMPACT'!$F$16</f>
        <v>2022 Prices £M</v>
      </c>
      <c r="F9" s="925"/>
      <c r="G9" s="925"/>
      <c r="H9" s="925"/>
      <c r="I9" s="925"/>
      <c r="J9" s="925"/>
      <c r="K9" s="925"/>
      <c r="L9" s="925"/>
      <c r="M9" s="925"/>
      <c r="N9" s="873"/>
      <c r="O9" s="872" t="str">
        <f ca="1">'VISITOR NUMBERS'!$F$16</f>
        <v>M</v>
      </c>
      <c r="P9" s="925"/>
      <c r="Q9" s="925"/>
      <c r="R9" s="925"/>
      <c r="S9" s="925"/>
      <c r="T9" s="925"/>
      <c r="U9" s="925"/>
      <c r="V9" s="925"/>
      <c r="W9" s="925"/>
      <c r="X9" s="873"/>
    </row>
    <row r="10" spans="1:26" s="125" customFormat="1" ht="16.2" customHeight="1" thickTop="1" thickBot="1" x14ac:dyDescent="0.35">
      <c r="E10" s="241"/>
      <c r="F10" s="242"/>
      <c r="G10" s="243"/>
      <c r="H10" s="244"/>
      <c r="I10" s="244"/>
      <c r="J10" s="244"/>
      <c r="K10" s="244"/>
      <c r="L10" s="244"/>
      <c r="M10" s="244"/>
      <c r="N10" s="244"/>
      <c r="O10" s="244"/>
      <c r="P10" s="244"/>
      <c r="Q10" s="244"/>
      <c r="R10" s="245"/>
      <c r="S10" s="246"/>
      <c r="T10" s="246"/>
      <c r="U10" s="247"/>
      <c r="V10" s="248"/>
      <c r="W10" s="248"/>
      <c r="X10" s="249"/>
    </row>
    <row r="11" spans="1:26" s="125" customFormat="1" ht="16.2" customHeight="1" thickTop="1" thickBot="1" x14ac:dyDescent="0.35">
      <c r="E11" s="241"/>
      <c r="F11" s="242"/>
      <c r="G11" s="241"/>
      <c r="H11" s="250"/>
      <c r="I11" s="242"/>
      <c r="J11" s="241"/>
      <c r="K11" s="250"/>
      <c r="L11" s="242"/>
      <c r="M11" s="251"/>
      <c r="N11" s="252"/>
      <c r="O11" s="253"/>
      <c r="P11" s="251"/>
      <c r="Q11" s="252"/>
      <c r="R11" s="253"/>
      <c r="S11" s="254"/>
      <c r="T11" s="254"/>
      <c r="U11" s="255"/>
      <c r="V11" s="256"/>
      <c r="W11" s="256"/>
      <c r="X11" s="257"/>
    </row>
    <row r="12" spans="1:26" ht="16.2" customHeight="1" thickTop="1" thickBot="1" x14ac:dyDescent="0.35">
      <c r="E12" s="258"/>
      <c r="F12" s="259"/>
      <c r="G12" s="260"/>
      <c r="H12" s="260"/>
      <c r="I12" s="260"/>
      <c r="J12" s="260"/>
      <c r="K12" s="260"/>
      <c r="L12" s="260"/>
      <c r="M12" s="261"/>
      <c r="N12" s="261"/>
      <c r="O12" s="261"/>
      <c r="P12" s="261"/>
      <c r="Q12" s="261"/>
      <c r="R12" s="261"/>
      <c r="S12" s="262"/>
      <c r="T12" s="262"/>
      <c r="U12" s="263"/>
      <c r="V12" s="263"/>
      <c r="W12" s="213"/>
      <c r="X12" s="213"/>
    </row>
    <row r="13" spans="1:26" ht="16.2" customHeight="1" thickTop="1" thickBot="1" x14ac:dyDescent="0.35">
      <c r="E13" s="264"/>
      <c r="F13" s="264"/>
      <c r="G13" s="135"/>
      <c r="H13" s="135"/>
      <c r="I13" s="135"/>
      <c r="J13" s="135"/>
      <c r="K13" s="135"/>
      <c r="L13" s="135"/>
      <c r="M13" s="192"/>
      <c r="N13" s="192"/>
      <c r="O13" s="192"/>
      <c r="P13" s="192"/>
      <c r="Q13" s="192"/>
      <c r="R13" s="192"/>
      <c r="S13" s="192"/>
      <c r="T13" s="265"/>
      <c r="U13" s="135"/>
      <c r="V13" s="135"/>
      <c r="W13" s="135"/>
      <c r="X13" s="135"/>
    </row>
    <row r="14" spans="1:26" ht="16.2" customHeight="1" thickTop="1" thickBot="1" x14ac:dyDescent="0.35">
      <c r="E14" s="264"/>
      <c r="F14" s="264"/>
      <c r="G14" s="135"/>
      <c r="H14" s="135"/>
      <c r="I14" s="135"/>
      <c r="J14" s="135"/>
      <c r="K14" s="135"/>
      <c r="L14" s="135"/>
      <c r="M14" s="192"/>
      <c r="N14" s="192"/>
      <c r="O14" s="192"/>
      <c r="P14" s="192"/>
      <c r="Q14" s="192"/>
      <c r="R14" s="192"/>
      <c r="S14" s="192"/>
      <c r="T14" s="265"/>
      <c r="U14" s="135"/>
      <c r="V14" s="135"/>
      <c r="W14" s="135"/>
      <c r="X14" s="135"/>
    </row>
    <row r="15" spans="1:26" ht="16.2" customHeight="1" thickTop="1" thickBot="1" x14ac:dyDescent="0.35">
      <c r="E15" s="264"/>
      <c r="F15" s="264"/>
      <c r="G15" s="135"/>
      <c r="H15" s="135"/>
      <c r="I15" s="135"/>
      <c r="J15" s="135"/>
      <c r="K15" s="135"/>
      <c r="L15" s="135"/>
      <c r="M15" s="192"/>
      <c r="N15" s="192"/>
      <c r="O15" s="192"/>
      <c r="P15" s="192"/>
      <c r="Q15" s="192"/>
      <c r="R15" s="192"/>
      <c r="S15" s="192"/>
      <c r="T15" s="265"/>
      <c r="U15" s="135"/>
      <c r="V15" s="135"/>
      <c r="W15" s="135"/>
      <c r="X15" s="135"/>
    </row>
    <row r="16" spans="1:26" ht="16.2" customHeight="1" thickTop="1" thickBot="1" x14ac:dyDescent="0.35">
      <c r="E16" s="266"/>
      <c r="F16" s="267"/>
      <c r="G16" s="268"/>
      <c r="H16" s="268"/>
      <c r="I16" s="268"/>
      <c r="J16" s="268"/>
      <c r="K16" s="268"/>
      <c r="L16" s="268"/>
      <c r="M16" s="269"/>
      <c r="N16" s="269"/>
      <c r="O16" s="269"/>
      <c r="P16" s="269"/>
      <c r="Q16" s="269"/>
      <c r="R16" s="269"/>
      <c r="S16" s="269"/>
      <c r="T16" s="265"/>
      <c r="U16" s="268"/>
      <c r="V16" s="268"/>
      <c r="W16" s="269"/>
      <c r="X16" s="269"/>
      <c r="Y16" s="270"/>
      <c r="Z16" s="111" t="b">
        <f>K16&gt;1000000</f>
        <v>0</v>
      </c>
    </row>
    <row r="17" spans="4:24" ht="16.2" customHeight="1" thickTop="1" thickBot="1" x14ac:dyDescent="0.35">
      <c r="E17" s="266"/>
      <c r="F17" s="267"/>
      <c r="G17" s="268"/>
      <c r="H17" s="268"/>
      <c r="I17" s="268"/>
      <c r="J17" s="268"/>
      <c r="K17" s="268"/>
      <c r="L17" s="268"/>
      <c r="M17" s="269"/>
      <c r="N17" s="269"/>
      <c r="O17" s="269"/>
      <c r="P17" s="269"/>
      <c r="Q17" s="269"/>
      <c r="R17" s="269"/>
      <c r="S17" s="269"/>
      <c r="T17" s="135"/>
      <c r="U17" s="268"/>
      <c r="V17" s="268"/>
      <c r="W17" s="269"/>
      <c r="X17" s="269"/>
    </row>
    <row r="18" spans="4:24" ht="16.2" customHeight="1" thickTop="1" thickBot="1" x14ac:dyDescent="0.35">
      <c r="E18" s="266"/>
      <c r="F18" s="267"/>
      <c r="G18" s="268"/>
      <c r="H18" s="268"/>
      <c r="I18" s="268"/>
      <c r="J18" s="268"/>
      <c r="K18" s="268"/>
      <c r="L18" s="268"/>
      <c r="M18" s="269"/>
      <c r="N18" s="269"/>
      <c r="O18" s="269"/>
      <c r="P18" s="269"/>
      <c r="Q18" s="269"/>
      <c r="R18" s="269"/>
      <c r="S18" s="269"/>
      <c r="T18" s="135"/>
      <c r="U18" s="268"/>
      <c r="V18" s="268"/>
      <c r="W18" s="269"/>
      <c r="X18" s="269"/>
    </row>
    <row r="19" spans="4:24" ht="16.2" customHeight="1" thickTop="1" thickBot="1" x14ac:dyDescent="0.35">
      <c r="E19" s="266"/>
      <c r="F19" s="229"/>
      <c r="G19" s="271"/>
      <c r="H19" s="271"/>
      <c r="I19" s="271"/>
      <c r="J19" s="271"/>
      <c r="K19" s="271"/>
      <c r="L19" s="271"/>
      <c r="M19" s="272"/>
      <c r="N19" s="272"/>
      <c r="O19" s="273"/>
      <c r="P19" s="272"/>
      <c r="Q19" s="272"/>
      <c r="R19" s="272"/>
      <c r="S19" s="272"/>
      <c r="T19" s="274"/>
      <c r="U19" s="271"/>
      <c r="V19" s="271"/>
      <c r="W19" s="272"/>
      <c r="X19" s="275"/>
    </row>
    <row r="20" spans="4:24" ht="16.2" customHeight="1" thickTop="1" thickBot="1" x14ac:dyDescent="0.35">
      <c r="E20" s="947" t="str">
        <f ca="1">PROPER('VISITOR DAYS'!$U$6)&amp;" - "&amp;TYPE.userselected</f>
        <v>Visitor Days - Total</v>
      </c>
      <c r="F20" s="948"/>
      <c r="G20" s="948"/>
      <c r="H20" s="948"/>
      <c r="I20" s="948"/>
      <c r="J20" s="948"/>
      <c r="K20" s="948"/>
      <c r="L20" s="948"/>
      <c r="M20" s="948"/>
      <c r="N20" s="948"/>
      <c r="O20" s="949" t="str">
        <f ca="1">PROPER(EMPLOYMENT!$U$6)&amp;" Supported - "&amp;TYPE.userselected</f>
        <v>Total Employment Supported - Total</v>
      </c>
      <c r="P20" s="950"/>
      <c r="Q20" s="950"/>
      <c r="R20" s="950"/>
      <c r="S20" s="950"/>
      <c r="T20" s="950"/>
      <c r="U20" s="950"/>
      <c r="V20" s="950"/>
      <c r="W20" s="950"/>
      <c r="X20" s="951"/>
    </row>
    <row r="21" spans="4:24" ht="16.2" customHeight="1" thickTop="1" thickBot="1" x14ac:dyDescent="0.35">
      <c r="E21" s="872" t="str">
        <f ca="1">'VISITOR DAYS'!$F$16</f>
        <v>M</v>
      </c>
      <c r="F21" s="925"/>
      <c r="G21" s="925"/>
      <c r="H21" s="925"/>
      <c r="I21" s="925"/>
      <c r="J21" s="925"/>
      <c r="K21" s="925"/>
      <c r="L21" s="925"/>
      <c r="M21" s="925"/>
      <c r="N21" s="873"/>
      <c r="O21" s="872" t="str">
        <f>EMPLOYMENT!$F$16</f>
        <v>FTEs</v>
      </c>
      <c r="P21" s="925"/>
      <c r="Q21" s="925"/>
      <c r="R21" s="925"/>
      <c r="S21" s="925"/>
      <c r="T21" s="925"/>
      <c r="U21" s="925"/>
      <c r="V21" s="925"/>
      <c r="W21" s="925"/>
      <c r="X21" s="873"/>
    </row>
    <row r="22" spans="4:24" ht="16.2" customHeight="1" thickTop="1" thickBot="1" x14ac:dyDescent="0.35">
      <c r="E22" s="241"/>
      <c r="F22" s="242"/>
      <c r="G22" s="243"/>
      <c r="H22" s="244"/>
      <c r="I22" s="244"/>
      <c r="J22" s="244"/>
      <c r="K22" s="244"/>
      <c r="L22" s="244"/>
      <c r="M22" s="244"/>
      <c r="N22" s="244"/>
      <c r="O22" s="241"/>
      <c r="P22" s="242"/>
      <c r="Q22" s="243"/>
      <c r="R22" s="244"/>
      <c r="S22" s="244"/>
      <c r="T22" s="244"/>
      <c r="U22" s="244"/>
      <c r="V22" s="244"/>
      <c r="W22" s="244"/>
      <c r="X22" s="245"/>
    </row>
    <row r="23" spans="4:24" ht="16.2" customHeight="1" thickTop="1" thickBot="1" x14ac:dyDescent="0.35">
      <c r="E23" s="241"/>
      <c r="F23" s="242"/>
      <c r="G23" s="241"/>
      <c r="H23" s="250"/>
      <c r="I23" s="242"/>
      <c r="J23" s="241"/>
      <c r="K23" s="250"/>
      <c r="L23" s="242"/>
      <c r="M23" s="251"/>
      <c r="N23" s="252"/>
      <c r="O23" s="241"/>
      <c r="P23" s="242"/>
      <c r="Q23" s="241"/>
      <c r="R23" s="250"/>
      <c r="S23" s="242"/>
      <c r="T23" s="241"/>
      <c r="U23" s="250"/>
      <c r="V23" s="242"/>
      <c r="W23" s="251"/>
      <c r="X23" s="253"/>
    </row>
    <row r="24" spans="4:24" ht="16.2" customHeight="1" thickTop="1" thickBot="1" x14ac:dyDescent="0.35">
      <c r="E24" s="258"/>
      <c r="F24" s="259"/>
      <c r="G24" s="260"/>
      <c r="H24" s="260"/>
      <c r="I24" s="260"/>
      <c r="J24" s="260"/>
      <c r="K24" s="260"/>
      <c r="L24" s="260"/>
      <c r="M24" s="261"/>
      <c r="N24" s="261"/>
      <c r="O24" s="258"/>
      <c r="P24" s="259"/>
      <c r="Q24" s="260"/>
      <c r="R24" s="260"/>
      <c r="S24" s="260"/>
      <c r="T24" s="260"/>
      <c r="U24" s="260"/>
      <c r="V24" s="260"/>
      <c r="W24" s="261"/>
      <c r="X24" s="133"/>
    </row>
    <row r="25" spans="4:24" ht="16.2" customHeight="1" thickTop="1" thickBot="1" x14ac:dyDescent="0.35">
      <c r="E25" s="264"/>
      <c r="F25" s="264"/>
      <c r="G25" s="135"/>
      <c r="H25" s="135"/>
      <c r="I25" s="135"/>
      <c r="J25" s="135"/>
      <c r="K25" s="135"/>
      <c r="L25" s="135"/>
      <c r="M25" s="192"/>
      <c r="N25" s="192"/>
      <c r="O25" s="264"/>
      <c r="P25" s="264"/>
      <c r="Q25" s="135"/>
      <c r="R25" s="135"/>
      <c r="S25" s="135"/>
      <c r="T25" s="135"/>
      <c r="U25" s="135"/>
      <c r="V25" s="135"/>
      <c r="W25" s="192"/>
      <c r="X25" s="192"/>
    </row>
    <row r="26" spans="4:24" ht="16.2" customHeight="1" thickTop="1" thickBot="1" x14ac:dyDescent="0.35">
      <c r="E26" s="264"/>
      <c r="F26" s="264"/>
      <c r="G26" s="135"/>
      <c r="H26" s="135"/>
      <c r="I26" s="135"/>
      <c r="J26" s="135"/>
      <c r="K26" s="135"/>
      <c r="L26" s="135"/>
      <c r="M26" s="192"/>
      <c r="N26" s="192"/>
      <c r="O26" s="264"/>
      <c r="P26" s="264"/>
      <c r="Q26" s="135"/>
      <c r="R26" s="135"/>
      <c r="S26" s="135"/>
      <c r="T26" s="135"/>
      <c r="U26" s="135"/>
      <c r="V26" s="135"/>
      <c r="W26" s="192"/>
      <c r="X26" s="192"/>
    </row>
    <row r="27" spans="4:24" ht="16.2" customHeight="1" thickTop="1" thickBot="1" x14ac:dyDescent="0.35">
      <c r="D27" s="196" t="str">
        <f ca="1">"'"&amp;$A$1&amp;"'!"&amp;CELL("address",G27)&amp;":"&amp;CELL("address",OFFSET(G27,0,COUNT(REP.yearsrange)-1))</f>
        <v>'KEY MEASURES'!$G$27:$R$27</v>
      </c>
      <c r="E27" s="264"/>
      <c r="F27" s="264"/>
      <c r="G27" s="135"/>
      <c r="H27" s="135"/>
      <c r="I27" s="135"/>
      <c r="J27" s="135"/>
      <c r="K27" s="135"/>
      <c r="L27" s="135"/>
      <c r="M27" s="192"/>
      <c r="N27" s="192"/>
      <c r="O27" s="264"/>
      <c r="P27" s="264"/>
      <c r="Q27" s="135"/>
      <c r="R27" s="135"/>
      <c r="S27" s="135"/>
      <c r="T27" s="135"/>
      <c r="U27" s="135"/>
      <c r="V27" s="135"/>
      <c r="W27" s="192"/>
      <c r="X27" s="192"/>
    </row>
    <row r="28" spans="4:24" ht="16.2" customHeight="1" thickTop="1" thickBot="1" x14ac:dyDescent="0.35">
      <c r="D28" s="196" t="str">
        <f ca="1">"'"&amp;$A$1&amp;"'!"&amp;CELL("address",G28)&amp;":"&amp;CELL("address",OFFSET(G28,0,COUNT(REP.yearsrange)-1))</f>
        <v>'KEY MEASURES'!$G$28:$R$28</v>
      </c>
      <c r="E28" s="266"/>
      <c r="F28" s="267"/>
      <c r="G28" s="268"/>
      <c r="H28" s="268"/>
      <c r="I28" s="268"/>
      <c r="J28" s="268"/>
      <c r="K28" s="268"/>
      <c r="L28" s="268"/>
      <c r="M28" s="269"/>
      <c r="N28" s="269"/>
      <c r="O28" s="266"/>
      <c r="P28" s="267"/>
      <c r="Q28" s="268"/>
      <c r="R28" s="268"/>
      <c r="S28" s="268"/>
      <c r="T28" s="268"/>
      <c r="U28" s="268"/>
      <c r="V28" s="268"/>
      <c r="W28" s="269"/>
      <c r="X28" s="269"/>
    </row>
    <row r="29" spans="4:24" ht="16.2" customHeight="1" thickTop="1" thickBot="1" x14ac:dyDescent="0.35">
      <c r="D29" s="196" t="str">
        <f ca="1">"'"&amp;$A$1&amp;"'!"&amp;CELL("address",G29)&amp;":"&amp;CELL("address",OFFSET(G29,0,COUNT(REP.yearsrange)-1))</f>
        <v>'KEY MEASURES'!$G$29:$R$29</v>
      </c>
      <c r="E29" s="266"/>
      <c r="F29" s="267"/>
      <c r="G29" s="268"/>
      <c r="H29" s="268"/>
      <c r="I29" s="268"/>
      <c r="J29" s="268"/>
      <c r="K29" s="268"/>
      <c r="L29" s="268"/>
      <c r="M29" s="269"/>
      <c r="N29" s="269"/>
      <c r="O29" s="266"/>
      <c r="P29" s="267"/>
      <c r="Q29" s="268"/>
      <c r="R29" s="268"/>
      <c r="S29" s="268"/>
      <c r="T29" s="268"/>
      <c r="U29" s="268"/>
      <c r="V29" s="268"/>
      <c r="W29" s="269"/>
      <c r="X29" s="269"/>
    </row>
    <row r="30" spans="4:24" ht="16.2" customHeight="1" thickTop="1" thickBot="1" x14ac:dyDescent="0.35">
      <c r="D30" s="196" t="str">
        <f ca="1">"'"&amp;$A$1&amp;"'!"&amp;CELL("address",G30)&amp;":"&amp;CELL("address",OFFSET(G30,0,COUNT(REP.yearsrange)-1))</f>
        <v>'KEY MEASURES'!$G$30:$R$30</v>
      </c>
      <c r="E30" s="266"/>
      <c r="F30" s="267"/>
      <c r="G30" s="268"/>
      <c r="H30" s="268"/>
      <c r="I30" s="268"/>
      <c r="J30" s="268"/>
      <c r="K30" s="268"/>
      <c r="L30" s="268"/>
      <c r="M30" s="269"/>
      <c r="N30" s="269"/>
      <c r="O30" s="266"/>
      <c r="P30" s="267"/>
      <c r="Q30" s="268"/>
      <c r="R30" s="268"/>
      <c r="S30" s="268"/>
      <c r="T30" s="268"/>
      <c r="U30" s="268"/>
      <c r="V30" s="268"/>
      <c r="W30" s="269"/>
      <c r="X30" s="269"/>
    </row>
    <row r="31" spans="4:24" ht="16.2" customHeight="1" thickTop="1" thickBot="1" x14ac:dyDescent="0.35">
      <c r="D31" s="196" t="str">
        <f ca="1">"'"&amp;$A$1&amp;"'!"&amp;CELL("address",G31)&amp;":"&amp;CELL("address",OFFSET(G31,0,COUNT(REP.yearsrange)-1))</f>
        <v>'KEY MEASURES'!$G$31:$R$31</v>
      </c>
      <c r="E31" s="266"/>
      <c r="F31" s="267"/>
      <c r="G31" s="268"/>
      <c r="H31" s="268"/>
      <c r="I31" s="268"/>
      <c r="J31" s="268"/>
      <c r="K31" s="268"/>
      <c r="L31" s="268"/>
      <c r="M31" s="269"/>
      <c r="N31" s="269"/>
      <c r="O31" s="266"/>
      <c r="P31" s="267"/>
      <c r="Q31" s="268"/>
      <c r="R31" s="268"/>
      <c r="S31" s="268"/>
      <c r="T31" s="268"/>
      <c r="U31" s="268"/>
      <c r="V31" s="268"/>
      <c r="W31" s="269"/>
      <c r="X31" s="269"/>
    </row>
    <row r="32" spans="4:24" ht="16.2" customHeight="1" thickTop="1" thickBot="1" x14ac:dyDescent="0.35">
      <c r="D32" s="196"/>
      <c r="E32" s="266"/>
      <c r="F32" s="267"/>
      <c r="G32" s="268"/>
      <c r="H32" s="268"/>
      <c r="I32" s="666"/>
      <c r="J32" s="666"/>
      <c r="K32" s="666"/>
      <c r="L32" s="666"/>
      <c r="M32" s="667"/>
      <c r="N32" s="667"/>
      <c r="O32" s="668"/>
      <c r="P32" s="669"/>
      <c r="Q32" s="666"/>
      <c r="R32" s="666"/>
      <c r="S32" s="268"/>
      <c r="T32" s="670"/>
      <c r="U32" s="670"/>
      <c r="V32" s="670"/>
      <c r="W32" s="671"/>
      <c r="X32" s="672"/>
    </row>
    <row r="33" spans="4:24" ht="16.2" customHeight="1" thickTop="1" thickBot="1" x14ac:dyDescent="0.35">
      <c r="D33" s="196" t="str">
        <f ca="1">"'"&amp;$A$1&amp;"'!"&amp;CELL("address",G33)&amp;":"&amp;CELL("address",OFFSET(G33,0,COUNT(REP.yearsrange)-1))</f>
        <v>'KEY MEASURES'!$G$33:$R$33</v>
      </c>
      <c r="E33" s="956" t="str">
        <f>"% Change from "&amp;MIN(REP.yearsrange)</f>
        <v>% Change from 2011</v>
      </c>
      <c r="F33" s="957"/>
      <c r="G33" s="197">
        <f t="array" ref="G33:R33">TRANSPOSE(REP.yearsrange)</f>
        <v>2011</v>
      </c>
      <c r="H33" s="197">
        <v>2012</v>
      </c>
      <c r="I33" s="198">
        <v>2013</v>
      </c>
      <c r="J33" s="198">
        <v>2014</v>
      </c>
      <c r="K33" s="198">
        <v>2015</v>
      </c>
      <c r="L33" s="198">
        <v>2016</v>
      </c>
      <c r="M33" s="198">
        <v>2017</v>
      </c>
      <c r="N33" s="198">
        <v>2018</v>
      </c>
      <c r="O33" s="198">
        <v>2019</v>
      </c>
      <c r="P33" s="198">
        <v>2020</v>
      </c>
      <c r="Q33" s="198">
        <v>2021</v>
      </c>
      <c r="R33" s="198">
        <v>2022</v>
      </c>
      <c r="S33" s="268"/>
      <c r="T33" s="952" t="s">
        <v>180</v>
      </c>
      <c r="U33" s="952"/>
      <c r="V33" s="952"/>
      <c r="W33" s="952"/>
      <c r="X33" s="953"/>
    </row>
    <row r="34" spans="4:24" ht="16.2" customHeight="1" thickTop="1" thickBot="1" x14ac:dyDescent="0.35">
      <c r="D34" s="196"/>
      <c r="E34" s="958" t="str">
        <f>IF(REP.indexed="YES","Economic Impact - Indexed","Economic Impact - Historic Prices")</f>
        <v>Economic Impact - Indexed</v>
      </c>
      <c r="F34" s="959"/>
      <c r="G34" s="135">
        <f ca="1">IFERROR(IF('KEY MEASURES'!G$33=0,"",'ECONOMIC IMPACT'!G$30/'ECONOMIC IMPACT'!$G$30-1),"")</f>
        <v>0</v>
      </c>
      <c r="H34" s="135">
        <f ca="1">IFERROR(IF('KEY MEASURES'!H$33=0,"",'ECONOMIC IMPACT'!H$30/'ECONOMIC IMPACT'!$G$30-1),"")</f>
        <v>-0.10445310492667692</v>
      </c>
      <c r="I34" s="135">
        <f ca="1">IFERROR(IF('KEY MEASURES'!I$33=0,"",'ECONOMIC IMPACT'!I$30/'ECONOMIC IMPACT'!$G$30-1),"")</f>
        <v>-7.2739622444462637E-2</v>
      </c>
      <c r="J34" s="135">
        <f ca="1">IFERROR(IF('KEY MEASURES'!J$33=0,"",'ECONOMIC IMPACT'!J$30/'ECONOMIC IMPACT'!$G$30-1),"")</f>
        <v>-3.4922085494324961E-2</v>
      </c>
      <c r="K34" s="135">
        <f ca="1">IFERROR(IF('KEY MEASURES'!K$33=0,"",'ECONOMIC IMPACT'!K$30/'ECONOMIC IMPACT'!$G$30-1),"")</f>
        <v>-5.6599834973266705E-2</v>
      </c>
      <c r="L34" s="135">
        <f ca="1">IFERROR(IF('KEY MEASURES'!L$33=0,"",'ECONOMIC IMPACT'!L$30/'ECONOMIC IMPACT'!$G$30-1),"")</f>
        <v>-2.6940574015217766E-2</v>
      </c>
      <c r="M34" s="135">
        <f ca="1">IFERROR(IF('KEY MEASURES'!M$33=0,"",'ECONOMIC IMPACT'!M$30/'ECONOMIC IMPACT'!$G$30-1),"")</f>
        <v>1.6267783555146353E-2</v>
      </c>
      <c r="N34" s="135">
        <f ca="1">IFERROR(IF('KEY MEASURES'!N$33=0,"",'ECONOMIC IMPACT'!N$30/'ECONOMIC IMPACT'!$G$30-1),"")</f>
        <v>8.9073234193357553E-2</v>
      </c>
      <c r="O34" s="135">
        <f ca="1">IFERROR(IF('KEY MEASURES'!O$33=0,"",'ECONOMIC IMPACT'!O$30/'ECONOMIC IMPACT'!$G$30-1),"")</f>
        <v>0.19346825384002098</v>
      </c>
      <c r="P34" s="135">
        <f ca="1">IFERROR(IF('KEY MEASURES'!P$33=0,"",'ECONOMIC IMPACT'!P$30/'ECONOMIC IMPACT'!$G$30-1),"")</f>
        <v>-0.50504404905152178</v>
      </c>
      <c r="Q34" s="135">
        <f ca="1">IFERROR(IF('KEY MEASURES'!Q$33=0,"",'ECONOMIC IMPACT'!Q$30/'ECONOMIC IMPACT'!$G$30-1),"")</f>
        <v>-2.7083768765769345E-2</v>
      </c>
      <c r="R34" s="135">
        <f ca="1">IFERROR(IF('KEY MEASURES'!R$33=0,"",'ECONOMIC IMPACT'!R$30/'ECONOMIC IMPACT'!$G$30-1),"")</f>
        <v>0.19860997634587529</v>
      </c>
      <c r="S34" s="276"/>
      <c r="T34" s="954"/>
      <c r="U34" s="954"/>
      <c r="V34" s="954"/>
      <c r="W34" s="954"/>
      <c r="X34" s="955"/>
    </row>
    <row r="35" spans="4:24" ht="16.2" customHeight="1" thickTop="1" thickBot="1" x14ac:dyDescent="0.35">
      <c r="D35" s="196"/>
      <c r="E35" s="960" t="str">
        <f ca="1">PROPER('VISITOR NUMBERS'!$U$6)</f>
        <v>Visitor Numbers</v>
      </c>
      <c r="F35" s="961"/>
      <c r="G35" s="135">
        <f ca="1">IFERROR(IF('KEY MEASURES'!G$33=0,"",'VISITOR NUMBERS'!G$30/'VISITOR NUMBERS'!$G$30-1),"")</f>
        <v>0</v>
      </c>
      <c r="H35" s="135">
        <f ca="1">IFERROR(IF('KEY MEASURES'!H$33=0,"",'VISITOR NUMBERS'!H$30/'VISITOR NUMBERS'!$G$30-1),"")</f>
        <v>-9.0784720473642277E-2</v>
      </c>
      <c r="I35" s="135">
        <f ca="1">IFERROR(IF('KEY MEASURES'!I$33=0,"",'VISITOR NUMBERS'!I$30/'VISITOR NUMBERS'!$G$30-1),"")</f>
        <v>-7.7641714594816835E-2</v>
      </c>
      <c r="J35" s="135">
        <f ca="1">IFERROR(IF('KEY MEASURES'!J$33=0,"",'VISITOR NUMBERS'!J$30/'VISITOR NUMBERS'!$G$30-1),"")</f>
        <v>-4.8589244872473736E-2</v>
      </c>
      <c r="K35" s="135">
        <f ca="1">IFERROR(IF('KEY MEASURES'!K$33=0,"",'VISITOR NUMBERS'!K$30/'VISITOR NUMBERS'!$G$30-1),"")</f>
        <v>-4.4225468235556509E-2</v>
      </c>
      <c r="L35" s="135">
        <f ca="1">IFERROR(IF('KEY MEASURES'!L$33=0,"",'VISITOR NUMBERS'!L$30/'VISITOR NUMBERS'!$G$30-1),"")</f>
        <v>-1.4014865556591927E-2</v>
      </c>
      <c r="M35" s="135">
        <f ca="1">IFERROR(IF('KEY MEASURES'!M$33=0,"",'VISITOR NUMBERS'!M$30/'VISITOR NUMBERS'!$G$30-1),"")</f>
        <v>2.2084276636797018E-2</v>
      </c>
      <c r="N35" s="135">
        <f ca="1">IFERROR(IF('KEY MEASURES'!N$33=0,"",'VISITOR NUMBERS'!N$30/'VISITOR NUMBERS'!$G$30-1),"")</f>
        <v>4.4700130005829619E-2</v>
      </c>
      <c r="O35" s="135">
        <f ca="1">IFERROR(IF('KEY MEASURES'!O$33=0,"",'VISITOR NUMBERS'!O$30/'VISITOR NUMBERS'!$G$30-1),"")</f>
        <v>8.5064452131019985E-2</v>
      </c>
      <c r="P35" s="135">
        <f ca="1">IFERROR(IF('KEY MEASURES'!P$33=0,"",'VISITOR NUMBERS'!P$30/'VISITOR NUMBERS'!$G$30-1),"")</f>
        <v>-0.49608335807910386</v>
      </c>
      <c r="Q35" s="135">
        <f ca="1">IFERROR(IF('KEY MEASURES'!Q$33=0,"",'VISITOR NUMBERS'!Q$30/'VISITOR NUMBERS'!$G$30-1),"")</f>
        <v>-0.17530941832429536</v>
      </c>
      <c r="R35" s="135">
        <f ca="1">IFERROR(IF('KEY MEASURES'!R$33=0,"",'VISITOR NUMBERS'!R$30/'VISITOR NUMBERS'!$G$30-1),"")</f>
        <v>9.5225086648030199E-2</v>
      </c>
      <c r="S35" s="276"/>
      <c r="T35" s="276"/>
      <c r="U35" s="276"/>
      <c r="V35" s="276"/>
      <c r="W35" s="277"/>
      <c r="X35" s="278"/>
    </row>
    <row r="36" spans="4:24" ht="16.2" customHeight="1" thickTop="1" thickBot="1" x14ac:dyDescent="0.35">
      <c r="D36" s="196"/>
      <c r="E36" s="962" t="str">
        <f ca="1">PROPER('VISITOR DAYS'!$U$6)</f>
        <v>Visitor Days</v>
      </c>
      <c r="F36" s="963"/>
      <c r="G36" s="135">
        <f ca="1">IFERROR(IF('KEY MEASURES'!G$33=0,"",'VISITOR DAYS'!G$30/'VISITOR DAYS'!$G$30-1),"")</f>
        <v>0</v>
      </c>
      <c r="H36" s="135">
        <f ca="1">IFERROR(IF('KEY MEASURES'!H$33=0,"",'VISITOR DAYS'!H$30/'VISITOR DAYS'!$G$30-1),"")</f>
        <v>-9.8761591466461796E-2</v>
      </c>
      <c r="I36" s="135">
        <f ca="1">IFERROR(IF('KEY MEASURES'!I$33=0,"",'VISITOR DAYS'!I$30/'VISITOR DAYS'!$G$30-1),"")</f>
        <v>-5.2212082198312193E-2</v>
      </c>
      <c r="J36" s="135">
        <f ca="1">IFERROR(IF('KEY MEASURES'!J$33=0,"",'VISITOR DAYS'!J$30/'VISITOR DAYS'!$G$30-1),"")</f>
        <v>-1.8556072141023616E-2</v>
      </c>
      <c r="K36" s="135">
        <f ca="1">IFERROR(IF('KEY MEASURES'!K$33=0,"",'VISITOR DAYS'!K$30/'VISITOR DAYS'!$G$30-1),"")</f>
        <v>-3.6020724888270572E-2</v>
      </c>
      <c r="L36" s="135">
        <f ca="1">IFERROR(IF('KEY MEASURES'!L$33=0,"",'VISITOR DAYS'!L$30/'VISITOR DAYS'!$G$30-1),"")</f>
        <v>-1.0846167809051233E-2</v>
      </c>
      <c r="M36" s="135">
        <f ca="1">IFERROR(IF('KEY MEASURES'!M$33=0,"",'VISITOR DAYS'!M$30/'VISITOR DAYS'!$G$30-1),"")</f>
        <v>2.2016814787546357E-2</v>
      </c>
      <c r="N36" s="135">
        <f ca="1">IFERROR(IF('KEY MEASURES'!N$33=0,"",'VISITOR DAYS'!N$30/'VISITOR DAYS'!$G$30-1),"")</f>
        <v>4.4014749251493068E-2</v>
      </c>
      <c r="O36" s="135">
        <f ca="1">IFERROR(IF('KEY MEASURES'!O$33=0,"",'VISITOR DAYS'!O$30/'VISITOR DAYS'!$G$30-1),"")</f>
        <v>8.8723612632504389E-2</v>
      </c>
      <c r="P36" s="135">
        <f ca="1">IFERROR(IF('KEY MEASURES'!P$33=0,"",'VISITOR DAYS'!P$30/'VISITOR DAYS'!$G$30-1),"")</f>
        <v>-0.54947380564267301</v>
      </c>
      <c r="Q36" s="135">
        <f ca="1">IFERROR(IF('KEY MEASURES'!Q$33=0,"",'VISITOR DAYS'!Q$30/'VISITOR DAYS'!$G$30-1),"")</f>
        <v>-0.15527136152519616</v>
      </c>
      <c r="R36" s="135">
        <f ca="1">IFERROR(IF('KEY MEASURES'!R$33=0,"",'VISITOR DAYS'!R$30/'VISITOR DAYS'!$G$30-1),"")</f>
        <v>0.10001571052539404</v>
      </c>
      <c r="S36" s="276"/>
      <c r="T36" s="276"/>
      <c r="U36" s="276"/>
      <c r="V36" s="276"/>
      <c r="W36" s="277"/>
      <c r="X36" s="278"/>
    </row>
    <row r="37" spans="4:24" ht="16.2" customHeight="1" thickTop="1" thickBot="1" x14ac:dyDescent="0.35">
      <c r="D37" s="196"/>
      <c r="E37" s="945" t="str">
        <f ca="1">PROPER(EMPLOYMENT!$U$6)</f>
        <v>Total Employment</v>
      </c>
      <c r="F37" s="946"/>
      <c r="G37" s="135">
        <f ca="1">IFERROR(IF('KEY MEASURES'!G$33=0,"",EMPLOYMENT!G$30/EMPLOYMENT!$G$30-1),"")</f>
        <v>0</v>
      </c>
      <c r="H37" s="135">
        <f ca="1">IFERROR(IF('KEY MEASURES'!H$33=0,"",EMPLOYMENT!H$30/EMPLOYMENT!$G$30-1),"")</f>
        <v>-8.7637856424981897E-2</v>
      </c>
      <c r="I37" s="135">
        <f ca="1">IFERROR(IF('KEY MEASURES'!I$33=0,"",EMPLOYMENT!I$30/EMPLOYMENT!$G$30-1),"")</f>
        <v>-2.0149050594754025E-2</v>
      </c>
      <c r="J37" s="135">
        <f ca="1">IFERROR(IF('KEY MEASURES'!J$33=0,"",EMPLOYMENT!J$30/EMPLOYMENT!$G$30-1),"")</f>
        <v>-5.5571240314055914E-2</v>
      </c>
      <c r="K37" s="135">
        <f ca="1">IFERROR(IF('KEY MEASURES'!K$33=0,"",EMPLOYMENT!K$30/EMPLOYMENT!$G$30-1),"")</f>
        <v>-4.1666517211206955E-2</v>
      </c>
      <c r="L37" s="135">
        <f ca="1">IFERROR(IF('KEY MEASURES'!L$33=0,"",EMPLOYMENT!L$30/EMPLOYMENT!$G$30-1),"")</f>
        <v>-2.1919246613705812E-2</v>
      </c>
      <c r="M37" s="135">
        <f ca="1">IFERROR(IF('KEY MEASURES'!M$33=0,"",EMPLOYMENT!M$30/EMPLOYMENT!$G$30-1),"")</f>
        <v>-9.8011416396593942E-3</v>
      </c>
      <c r="N37" s="135">
        <f ca="1">IFERROR(IF('KEY MEASURES'!N$33=0,"",EMPLOYMENT!N$30/EMPLOYMENT!$G$30-1),"")</f>
        <v>8.2237032491987216E-2</v>
      </c>
      <c r="O37" s="135">
        <f ca="1">IFERROR(IF('KEY MEASURES'!O$33=0,"",EMPLOYMENT!O$30/EMPLOYMENT!$G$30-1),"")</f>
        <v>0.14704373647741309</v>
      </c>
      <c r="P37" s="135">
        <f ca="1">IFERROR(IF('KEY MEASURES'!P$33=0,"",EMPLOYMENT!P$30/EMPLOYMENT!$G$30-1),"")</f>
        <v>-0.39825333601057789</v>
      </c>
      <c r="Q37" s="135">
        <f ca="1">IFERROR(IF('KEY MEASURES'!Q$33=0,"",EMPLOYMENT!Q$30/EMPLOYMENT!$G$30-1),"")</f>
        <v>-7.890220275952553E-2</v>
      </c>
      <c r="R37" s="135">
        <f ca="1">IFERROR(IF('KEY MEASURES'!R$33=0,"",EMPLOYMENT!R$30/EMPLOYMENT!$G$30-1),"")</f>
        <v>0.11512198269588025</v>
      </c>
      <c r="S37" s="276"/>
      <c r="T37" s="276"/>
      <c r="U37" s="276"/>
      <c r="V37" s="276"/>
      <c r="W37" s="277"/>
      <c r="X37" s="278"/>
    </row>
    <row r="38" spans="4:24" s="174" customFormat="1" ht="16.2" customHeight="1" thickTop="1" thickBot="1" x14ac:dyDescent="0.2">
      <c r="D38" s="170"/>
      <c r="E38" s="171" t="str">
        <f>REP.footer1</f>
        <v>This report is copyright © Global Tourism Solutions (UK) Ltd 2023</v>
      </c>
      <c r="F38" s="172"/>
      <c r="G38" s="172"/>
      <c r="H38" s="172"/>
      <c r="I38" s="172"/>
      <c r="J38" s="172"/>
      <c r="K38" s="172"/>
      <c r="L38" s="172"/>
      <c r="M38" s="172"/>
      <c r="N38" s="172"/>
      <c r="O38" s="172"/>
      <c r="P38" s="172"/>
      <c r="Q38" s="172"/>
      <c r="R38" s="172"/>
      <c r="S38" s="172"/>
      <c r="T38" s="172"/>
      <c r="U38" s="172"/>
      <c r="V38" s="172"/>
      <c r="W38" s="172"/>
      <c r="X38" s="173" t="str">
        <f>REP.footer2</f>
        <v>Report Prepared by: Cathy James. Date of Issue: 14/08/23</v>
      </c>
    </row>
    <row r="39" spans="4:24" ht="16.2" customHeight="1" thickTop="1" x14ac:dyDescent="0.3"/>
    <row r="40" spans="4:24" ht="16.2" customHeight="1" x14ac:dyDescent="0.3">
      <c r="G40" s="240"/>
      <c r="H40" s="240"/>
      <c r="I40" s="240"/>
      <c r="J40" s="240"/>
      <c r="K40" s="240"/>
      <c r="L40" s="240"/>
      <c r="M40" s="240"/>
      <c r="N40" s="240"/>
      <c r="O40" s="240"/>
      <c r="P40" s="240"/>
      <c r="Q40" s="240"/>
      <c r="R40" s="240"/>
      <c r="S40" s="240"/>
      <c r="T40" s="240"/>
      <c r="U40" s="240"/>
      <c r="V40" s="240"/>
    </row>
    <row r="41" spans="4:24" ht="16.2" customHeight="1" x14ac:dyDescent="0.3">
      <c r="G41" s="240"/>
      <c r="H41" s="240"/>
      <c r="I41" s="240"/>
      <c r="J41" s="240"/>
      <c r="K41" s="240"/>
      <c r="L41" s="240"/>
      <c r="M41" s="240"/>
      <c r="N41" s="240"/>
      <c r="O41" s="240"/>
      <c r="P41" s="240"/>
      <c r="Q41" s="240"/>
      <c r="R41" s="240"/>
      <c r="S41" s="240"/>
      <c r="T41" s="240"/>
      <c r="U41" s="240"/>
      <c r="V41" s="240"/>
    </row>
    <row r="70" spans="7:23" ht="16.2" customHeight="1" x14ac:dyDescent="0.3">
      <c r="G70" s="111" t="s">
        <v>43</v>
      </c>
      <c r="H70" s="111" t="s">
        <v>43</v>
      </c>
      <c r="J70" s="111" t="s">
        <v>48</v>
      </c>
      <c r="K70" s="111" t="s">
        <v>48</v>
      </c>
      <c r="M70" s="111" t="s">
        <v>18</v>
      </c>
      <c r="N70" s="111" t="s">
        <v>18</v>
      </c>
      <c r="P70" s="111" t="s">
        <v>95</v>
      </c>
      <c r="S70" s="111" t="s">
        <v>71</v>
      </c>
      <c r="T70" s="111" t="s">
        <v>71</v>
      </c>
      <c r="V70" s="111" t="s">
        <v>54</v>
      </c>
      <c r="W70" s="111" t="s">
        <v>54</v>
      </c>
    </row>
  </sheetData>
  <sheetProtection algorithmName="SHA-512" hashValue="g8OZbApD/jTylum2KD0Qa9M60TvDdpuDcf/1citb2vlHsFq1vVky+/8HxsGT2bab6T+FrWaVfxsNU4dYPfJ7kQ==" saltValue="QckBHtDBAlUVKyTXW3AQHw==" spinCount="100000" sheet="1" objects="1" scenarios="1"/>
  <mergeCells count="18">
    <mergeCell ref="E37:F37"/>
    <mergeCell ref="E20:N20"/>
    <mergeCell ref="E21:N21"/>
    <mergeCell ref="O20:X20"/>
    <mergeCell ref="O21:X21"/>
    <mergeCell ref="T33:X34"/>
    <mergeCell ref="E33:F33"/>
    <mergeCell ref="E34:F34"/>
    <mergeCell ref="E35:F35"/>
    <mergeCell ref="E36:F36"/>
    <mergeCell ref="E9:N9"/>
    <mergeCell ref="O8:X8"/>
    <mergeCell ref="O9:X9"/>
    <mergeCell ref="S6:T7"/>
    <mergeCell ref="U6:X7"/>
    <mergeCell ref="O6:R6"/>
    <mergeCell ref="O7:R7"/>
    <mergeCell ref="E8:N8"/>
  </mergeCells>
  <conditionalFormatting sqref="E34:E37">
    <cfRule type="expression" dxfId="160" priority="17">
      <formula>E34=0</formula>
    </cfRule>
  </conditionalFormatting>
  <conditionalFormatting sqref="G34:R37">
    <cfRule type="expression" dxfId="159" priority="7" stopIfTrue="1">
      <formula>OR(G$33=0,G34="")</formula>
    </cfRule>
    <cfRule type="cellIs" dxfId="158" priority="8" operator="lessThanOrEqual">
      <formula>-REP.percenthighlight</formula>
    </cfRule>
    <cfRule type="cellIs" dxfId="157" priority="9" operator="greaterThanOrEqual">
      <formula>REP.percenthighlight</formula>
    </cfRule>
  </conditionalFormatting>
  <conditionalFormatting sqref="I33:R33">
    <cfRule type="expression" dxfId="156" priority="16">
      <formula>I33=0</formula>
    </cfRule>
  </conditionalFormatting>
  <conditionalFormatting sqref="S6:T7">
    <cfRule type="expression" dxfId="155" priority="1">
      <formula>TYPE.no=6</formula>
    </cfRule>
    <cfRule type="expression" dxfId="154" priority="2">
      <formula>TYPE.no=5</formula>
    </cfRule>
    <cfRule type="expression" dxfId="153" priority="3">
      <formula>TYPE.no=4</formula>
    </cfRule>
    <cfRule type="expression" dxfId="152" priority="4">
      <formula>TYPE.no=3</formula>
    </cfRule>
    <cfRule type="expression" dxfId="151" priority="5">
      <formula>TYPE.no=2</formula>
    </cfRule>
    <cfRule type="expression" dxfId="150" priority="6">
      <formula>TYPE.no=1</formula>
    </cfRule>
  </conditionalFormatting>
  <printOptions horizontalCentered="1" verticalCentered="1"/>
  <pageMargins left="0.70866141732283472" right="0.70866141732283472" top="0.74803149606299213" bottom="0.74803149606299213" header="0.31496062992125984" footer="0.31496062992125984"/>
  <pageSetup paperSize="9" scale="89"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139266" r:id="rId4" name="Drop Down 2">
              <controlPr defaultSize="0" autoLine="0" autoPict="0">
                <anchor moveWithCells="1">
                  <from>
                    <xdr:col>16</xdr:col>
                    <xdr:colOff>76200</xdr:colOff>
                    <xdr:row>4</xdr:row>
                    <xdr:rowOff>22860</xdr:rowOff>
                  </from>
                  <to>
                    <xdr:col>17</xdr:col>
                    <xdr:colOff>297180</xdr:colOff>
                    <xdr:row>4</xdr:row>
                    <xdr:rowOff>297180</xdr:rowOff>
                  </to>
                </anchor>
              </controlPr>
            </control>
          </mc:Choice>
        </mc:AlternateContent>
        <mc:AlternateContent xmlns:mc="http://schemas.openxmlformats.org/markup-compatibility/2006">
          <mc:Choice Requires="x14">
            <control shapeId="139267" r:id="rId5" name="Drop Down 3">
              <controlPr defaultSize="0" autoLine="0" autoPict="0">
                <anchor moveWithCells="1">
                  <from>
                    <xdr:col>9</xdr:col>
                    <xdr:colOff>175260</xdr:colOff>
                    <xdr:row>4</xdr:row>
                    <xdr:rowOff>22860</xdr:rowOff>
                  </from>
                  <to>
                    <xdr:col>13</xdr:col>
                    <xdr:colOff>152400</xdr:colOff>
                    <xdr:row>4</xdr:row>
                    <xdr:rowOff>297180</xdr:rowOff>
                  </to>
                </anchor>
              </controlPr>
            </control>
          </mc:Choice>
        </mc:AlternateContent>
        <mc:AlternateContent xmlns:mc="http://schemas.openxmlformats.org/markup-compatibility/2006">
          <mc:Choice Requires="x14">
            <control shapeId="139270" r:id="rId6" name="Drop Down 6">
              <controlPr defaultSize="0" autoLine="0" autoPict="0">
                <anchor moveWithCells="1">
                  <from>
                    <xdr:col>21</xdr:col>
                    <xdr:colOff>198120</xdr:colOff>
                    <xdr:row>4</xdr:row>
                    <xdr:rowOff>22860</xdr:rowOff>
                  </from>
                  <to>
                    <xdr:col>22</xdr:col>
                    <xdr:colOff>289560</xdr:colOff>
                    <xdr:row>4</xdr:row>
                    <xdr:rowOff>289560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Output08">
    <tabColor theme="7" tint="-0.499984740745262"/>
    <outlinePr showOutlineSymbols="0"/>
    <pageSetUpPr autoPageBreaks="0" fitToPage="1"/>
  </sheetPr>
  <dimension ref="A1:AD83"/>
  <sheetViews>
    <sheetView showGridLines="0" showRowColHeaders="0" showZeros="0" showOutlineSymbols="0" topLeftCell="A2" zoomScaleNormal="100" workbookViewId="0">
      <pane ySplit="6" topLeftCell="A8" activePane="bottomLeft" state="frozen"/>
      <selection activeCell="M48" sqref="M48"/>
      <selection pane="bottomLeft" activeCell="G80" sqref="G80"/>
    </sheetView>
  </sheetViews>
  <sheetFormatPr defaultColWidth="4.88671875" defaultRowHeight="16.2" customHeight="1" x14ac:dyDescent="0.3"/>
  <cols>
    <col min="1" max="3" width="4.88671875" style="111"/>
    <col min="4" max="4" width="4.88671875" style="112"/>
    <col min="5" max="5" width="19.5546875" style="111" customWidth="1"/>
    <col min="6" max="6" width="5.109375" style="111" customWidth="1"/>
    <col min="7" max="24" width="7.33203125" style="111" customWidth="1"/>
    <col min="25" max="25" width="7.109375" style="111" bestFit="1" customWidth="1"/>
    <col min="26" max="26" width="8.44140625" style="111" bestFit="1" customWidth="1"/>
    <col min="27" max="16384" width="4.88671875" style="111"/>
  </cols>
  <sheetData>
    <row r="1" spans="1:24" ht="16.2" hidden="1" customHeight="1" thickTop="1" thickBot="1" x14ac:dyDescent="0.35">
      <c r="A1" s="110" t="str">
        <f ca="1">MID(CELL("filename",A1),FIND("]",CELL("filename",A1))+1,255)</f>
        <v>VISITOR TYPE DISTRIBUTION</v>
      </c>
      <c r="E1" s="113"/>
      <c r="F1" s="114"/>
      <c r="G1" s="114"/>
      <c r="H1" s="114"/>
      <c r="I1" s="114"/>
      <c r="J1" s="114"/>
      <c r="K1" s="114"/>
      <c r="L1" s="114"/>
      <c r="M1" s="114"/>
      <c r="N1" s="114"/>
      <c r="O1" s="114"/>
      <c r="P1" s="114"/>
      <c r="Q1" s="114"/>
      <c r="R1" s="114"/>
      <c r="S1" s="114"/>
      <c r="T1" s="114"/>
      <c r="U1" s="114"/>
      <c r="V1" s="114"/>
      <c r="W1" s="114"/>
      <c r="X1" s="115"/>
    </row>
    <row r="2" spans="1:24" ht="16.2" customHeight="1" thickTop="1" x14ac:dyDescent="0.3">
      <c r="E2" s="116"/>
      <c r="F2" s="117"/>
      <c r="G2" s="117"/>
      <c r="H2" s="117"/>
      <c r="I2" s="117"/>
      <c r="J2" s="117"/>
      <c r="K2" s="117"/>
      <c r="L2" s="117"/>
      <c r="M2" s="117"/>
      <c r="N2" s="117"/>
      <c r="O2" s="117"/>
      <c r="P2" s="117"/>
      <c r="Q2" s="117"/>
      <c r="R2" s="117"/>
      <c r="S2" s="117"/>
      <c r="T2" s="117"/>
      <c r="U2" s="117"/>
      <c r="V2" s="117"/>
      <c r="W2" s="117"/>
      <c r="X2" s="118"/>
    </row>
    <row r="3" spans="1:24" ht="26.4" customHeight="1" x14ac:dyDescent="0.3">
      <c r="E3" s="119"/>
      <c r="F3" s="120"/>
      <c r="G3" s="120"/>
      <c r="H3" s="120"/>
      <c r="I3" s="120"/>
      <c r="J3" s="120"/>
      <c r="K3" s="120"/>
      <c r="L3" s="120"/>
      <c r="M3" s="120"/>
      <c r="N3" s="120"/>
      <c r="O3" s="120"/>
      <c r="P3" s="120"/>
      <c r="Q3" s="120"/>
      <c r="R3" s="120"/>
      <c r="S3" s="120"/>
      <c r="T3" s="120"/>
      <c r="U3" s="120"/>
      <c r="V3" s="120"/>
      <c r="W3" s="120"/>
      <c r="X3" s="121"/>
    </row>
    <row r="4" spans="1:24" ht="26.4" customHeight="1" x14ac:dyDescent="0.3">
      <c r="E4" s="204"/>
      <c r="F4" s="205"/>
      <c r="G4" s="205"/>
      <c r="H4" s="205"/>
      <c r="I4" s="205"/>
      <c r="J4" s="205"/>
      <c r="K4" s="205"/>
      <c r="L4" s="205"/>
      <c r="M4" s="205"/>
      <c r="N4" s="205"/>
      <c r="O4" s="205"/>
      <c r="P4" s="205"/>
      <c r="Q4" s="205"/>
      <c r="R4" s="205"/>
      <c r="S4" s="205"/>
      <c r="T4" s="205"/>
      <c r="U4" s="205"/>
      <c r="V4" s="205"/>
      <c r="W4" s="205"/>
      <c r="X4" s="206"/>
    </row>
    <row r="5" spans="1:24" ht="26.4" customHeight="1" thickBot="1" x14ac:dyDescent="0.35">
      <c r="E5" s="207"/>
      <c r="F5" s="208"/>
      <c r="G5" s="208"/>
      <c r="H5" s="208"/>
      <c r="I5" s="208"/>
      <c r="J5" s="208"/>
      <c r="K5" s="208"/>
      <c r="L5" s="208"/>
      <c r="M5" s="406" t="str">
        <f>"INDEXATION TO "&amp;MAX(REP.yearsrange)&amp;" PRICES"</f>
        <v>INDEXATION TO 2022 PRICES</v>
      </c>
      <c r="N5" s="208"/>
      <c r="O5" s="208"/>
      <c r="P5" s="208"/>
      <c r="Q5" s="208"/>
      <c r="R5" s="208"/>
      <c r="S5" s="208"/>
      <c r="T5" s="208"/>
      <c r="U5" s="208"/>
      <c r="V5" s="208"/>
      <c r="W5" s="208"/>
      <c r="X5" s="209"/>
    </row>
    <row r="6" spans="1:24" ht="16.2" customHeight="1" thickTop="1" x14ac:dyDescent="0.3">
      <c r="E6" s="449" t="str">
        <f>REP.title1</f>
        <v>STEAM FINAL TREND REPORT FOR 2011-2022</v>
      </c>
      <c r="F6" s="450"/>
      <c r="G6" s="450"/>
      <c r="H6" s="450"/>
      <c r="I6" s="450"/>
      <c r="J6" s="450"/>
      <c r="K6" s="450"/>
      <c r="L6" s="450"/>
      <c r="M6" s="450"/>
      <c r="N6" s="450"/>
      <c r="O6" s="939">
        <f>CHARTYEAR</f>
        <v>2022</v>
      </c>
      <c r="P6" s="940"/>
      <c r="Q6" s="940"/>
      <c r="R6" s="941"/>
      <c r="S6" s="964" t="str">
        <f>UPPER(TOTAL)</f>
        <v>TOTAL</v>
      </c>
      <c r="T6" s="965"/>
      <c r="U6" s="968" t="str">
        <f>IF(REP.indexed="YES","DISTRIBUTION BY VISITOR TYPE"&amp;CHAR(10)&amp;"Indexed","DISTRIBUTION BY VISITOR TYPE"&amp;CHAR(10)&amp;"Historic Prices")</f>
        <v>DISTRIBUTION BY VISITOR TYPE
Indexed</v>
      </c>
      <c r="V6" s="969"/>
      <c r="W6" s="969"/>
      <c r="X6" s="970"/>
    </row>
    <row r="7" spans="1:24" ht="16.2" customHeight="1" thickBot="1" x14ac:dyDescent="0.35">
      <c r="E7" s="451" t="str">
        <f>REP.title2</f>
        <v>GWYNEDD COUNCIL</v>
      </c>
      <c r="F7" s="452"/>
      <c r="G7" s="452"/>
      <c r="H7" s="452"/>
      <c r="I7" s="453"/>
      <c r="J7" s="453"/>
      <c r="K7" s="453"/>
      <c r="L7" s="453"/>
      <c r="M7" s="453"/>
      <c r="N7" s="453"/>
      <c r="O7" s="942" t="str">
        <f>IF(REP.indexed="YES",MAX(REP.yearsrange)&amp;" Prices","Historic Prices")</f>
        <v>2022 Prices</v>
      </c>
      <c r="P7" s="943"/>
      <c r="Q7" s="943"/>
      <c r="R7" s="944"/>
      <c r="S7" s="966"/>
      <c r="T7" s="967"/>
      <c r="U7" s="971"/>
      <c r="V7" s="972"/>
      <c r="W7" s="972"/>
      <c r="X7" s="973"/>
    </row>
    <row r="8" spans="1:24" ht="16.2" customHeight="1" thickTop="1" thickBot="1" x14ac:dyDescent="0.35">
      <c r="E8" s="863" t="str">
        <f>IF(REP.indexed="YES","ECONOMIC IMPACT - "&amp;CHARTYEAR&amp;" Indexed - £M","Economic Impact - Historic Prices - £M")&amp;" - Share of Total"</f>
        <v>ECONOMIC IMPACT - 2022 Indexed - £M - Share of Total</v>
      </c>
      <c r="F8" s="864"/>
      <c r="G8" s="864"/>
      <c r="H8" s="864"/>
      <c r="I8" s="864"/>
      <c r="J8" s="864"/>
      <c r="K8" s="864"/>
      <c r="L8" s="864"/>
      <c r="M8" s="864"/>
      <c r="N8" s="864"/>
      <c r="O8" s="926" t="str">
        <f ca="1">PROPER('VISITOR NUMBERS'!$U$6)&amp;" - "&amp;CHARTYEAR&amp;" - M - Share of Total"</f>
        <v>Visitor Numbers - 2022 - M - Share of Total</v>
      </c>
      <c r="P8" s="927"/>
      <c r="Q8" s="927"/>
      <c r="R8" s="927"/>
      <c r="S8" s="927"/>
      <c r="T8" s="927"/>
      <c r="U8" s="927"/>
      <c r="V8" s="927"/>
      <c r="W8" s="927"/>
      <c r="X8" s="928"/>
    </row>
    <row r="9" spans="1:24" s="125" customFormat="1" ht="16.2" customHeight="1" thickTop="1" x14ac:dyDescent="0.3">
      <c r="E9" s="494"/>
      <c r="F9" s="495"/>
      <c r="G9" s="496" t="s">
        <v>143</v>
      </c>
      <c r="H9" s="495" t="s">
        <v>171</v>
      </c>
      <c r="I9" s="495" t="s">
        <v>172</v>
      </c>
      <c r="J9" s="495" t="s">
        <v>55</v>
      </c>
      <c r="K9" s="495"/>
      <c r="L9" s="495"/>
      <c r="M9" s="495"/>
      <c r="N9" s="497"/>
      <c r="O9" s="498"/>
      <c r="P9" s="495"/>
      <c r="Q9" s="495"/>
      <c r="R9" s="495"/>
      <c r="S9" s="495"/>
      <c r="T9" s="495"/>
      <c r="U9" s="495"/>
      <c r="V9" s="495"/>
      <c r="W9" s="495"/>
      <c r="X9" s="497"/>
    </row>
    <row r="10" spans="1:24" s="125" customFormat="1" ht="16.2" customHeight="1" x14ac:dyDescent="0.3">
      <c r="E10" s="499" t="str">
        <f t="array" ref="E10:E14">INDEX(TYPE.choices,{5;6;2;3;4})</f>
        <v>Staying Visitor</v>
      </c>
      <c r="F10" s="500"/>
      <c r="G10" s="501">
        <f>SUM(G12:G14)</f>
        <v>1317162.1279827415</v>
      </c>
      <c r="H10" s="501">
        <f t="shared" ref="H10:J10" si="0">SUM(H12:H14)</f>
        <v>20411.496913645446</v>
      </c>
      <c r="I10" s="501">
        <f t="shared" si="0"/>
        <v>4113.4865508837465</v>
      </c>
      <c r="J10" s="501">
        <f t="shared" si="0"/>
        <v>12736.792962659501</v>
      </c>
      <c r="K10" s="500"/>
      <c r="L10" s="500"/>
      <c r="M10" s="500"/>
      <c r="N10" s="502"/>
      <c r="O10" s="503"/>
      <c r="P10" s="500"/>
      <c r="Q10" s="500"/>
      <c r="R10" s="500"/>
      <c r="S10" s="504"/>
      <c r="T10" s="504"/>
      <c r="U10" s="500"/>
      <c r="V10" s="500"/>
      <c r="W10" s="500"/>
      <c r="X10" s="502"/>
    </row>
    <row r="11" spans="1:24" s="125" customFormat="1" ht="16.2" customHeight="1" x14ac:dyDescent="0.3">
      <c r="E11" s="499" t="str">
        <v>Day Visitor</v>
      </c>
      <c r="F11" s="500"/>
      <c r="G11" s="501">
        <f>VLOOKUP(CHARTYEAR&amp;"."&amp;"ECONOMIC IMPACT"&amp;"."&amp;$E11,REP.data,18,FALSE)*INDEX(REP.indexationfactors,(MATCH(CHARTYEAR,REP.yearsrange,0)))</f>
        <v>206279.24299275398</v>
      </c>
      <c r="H11" s="501">
        <f>VLOOKUP(CHARTYEAR&amp;"."&amp;H$9&amp;"."&amp;$E11,REP.data,18,FALSE)</f>
        <v>3768.8173242507069</v>
      </c>
      <c r="I11" s="501">
        <f>VLOOKUP(CHARTYEAR&amp;"."&amp;I$9&amp;"."&amp;$E11,REP.data,18,FALSE)</f>
        <v>3768.8173242507069</v>
      </c>
      <c r="J11" s="501">
        <f>VLOOKUP(CHARTYEAR&amp;"."&amp;"Employment"&amp;"."&amp;$E11,REP.data,18,FALSE)</f>
        <v>1547.2243679194735</v>
      </c>
      <c r="K11" s="500"/>
      <c r="L11" s="500"/>
      <c r="M11" s="504"/>
      <c r="N11" s="505"/>
      <c r="O11" s="506"/>
      <c r="P11" s="504"/>
      <c r="Q11" s="504"/>
      <c r="R11" s="504"/>
      <c r="S11" s="504"/>
      <c r="T11" s="504"/>
      <c r="U11" s="500"/>
      <c r="V11" s="500"/>
      <c r="W11" s="500"/>
      <c r="X11" s="502"/>
    </row>
    <row r="12" spans="1:24" ht="16.2" customHeight="1" x14ac:dyDescent="0.3">
      <c r="E12" s="507" t="str">
        <v>Serviced Accommodation</v>
      </c>
      <c r="F12" s="508"/>
      <c r="G12" s="501">
        <f>VLOOKUP(CHARTYEAR&amp;"."&amp;"ECONOMIC IMPACT"&amp;"."&amp;$E12,REP.data,18,FALSE)*INDEX(REP.indexationfactors,(MATCH(CHARTYEAR,REP.yearsrange,0)))</f>
        <v>142263.86291018059</v>
      </c>
      <c r="H12" s="501">
        <f>VLOOKUP(CHARTYEAR&amp;"."&amp;H$9&amp;"."&amp;$E12,REP.data,18,FALSE)</f>
        <v>1206.5322566246423</v>
      </c>
      <c r="I12" s="501">
        <f>VLOOKUP(CHARTYEAR&amp;"."&amp;I$9&amp;"."&amp;$E12,REP.data,18,FALSE)</f>
        <v>676.60965910293658</v>
      </c>
      <c r="J12" s="501">
        <f>VLOOKUP(CHARTYEAR&amp;"."&amp;"Employment"&amp;"."&amp;$E12,REP.data,18,FALSE)</f>
        <v>2005.8532319564802</v>
      </c>
      <c r="K12" s="509"/>
      <c r="L12" s="509"/>
      <c r="M12" s="509"/>
      <c r="N12" s="510"/>
      <c r="O12" s="511"/>
      <c r="P12" s="509"/>
      <c r="Q12" s="509"/>
      <c r="R12" s="509"/>
      <c r="S12" s="504"/>
      <c r="T12" s="504"/>
      <c r="U12" s="512"/>
      <c r="V12" s="512"/>
      <c r="W12" s="512"/>
      <c r="X12" s="513"/>
    </row>
    <row r="13" spans="1:24" ht="16.2" customHeight="1" x14ac:dyDescent="0.3">
      <c r="E13" s="499" t="str">
        <v>Non-Serviced Accommodation</v>
      </c>
      <c r="F13" s="500"/>
      <c r="G13" s="501">
        <f>VLOOKUP(CHARTYEAR&amp;"."&amp;"ECONOMIC IMPACT"&amp;"."&amp;$E13,REP.data,18,FALSE)*INDEX(REP.indexationfactors,(MATCH(CHARTYEAR,REP.yearsrange,0)))</f>
        <v>1157963.5043597082</v>
      </c>
      <c r="H13" s="501">
        <f>VLOOKUP(CHARTYEAR&amp;"."&amp;H$9&amp;"."&amp;$E13,REP.data,18,FALSE)</f>
        <v>18774.503365224438</v>
      </c>
      <c r="I13" s="501">
        <f>VLOOKUP(CHARTYEAR&amp;"."&amp;I$9&amp;"."&amp;$E13,REP.data,18,FALSE)</f>
        <v>3256.0645092353548</v>
      </c>
      <c r="J13" s="501">
        <f>VLOOKUP(CHARTYEAR&amp;"."&amp;"Employment"&amp;"."&amp;$E13,REP.data,18,FALSE)</f>
        <v>10593.01630038202</v>
      </c>
      <c r="K13" s="512"/>
      <c r="L13" s="512"/>
      <c r="M13" s="512"/>
      <c r="N13" s="513"/>
      <c r="O13" s="514"/>
      <c r="P13" s="512"/>
      <c r="Q13" s="512"/>
      <c r="R13" s="512"/>
      <c r="S13" s="512"/>
      <c r="T13" s="515"/>
      <c r="U13" s="512"/>
      <c r="V13" s="512"/>
      <c r="W13" s="512"/>
      <c r="X13" s="513"/>
    </row>
    <row r="14" spans="1:24" ht="16.2" customHeight="1" x14ac:dyDescent="0.3">
      <c r="E14" s="516" t="str">
        <v>SFR</v>
      </c>
      <c r="F14" s="509"/>
      <c r="G14" s="501">
        <f>VLOOKUP(CHARTYEAR&amp;"."&amp;"ECONOMIC IMPACT"&amp;"."&amp;$E14,REP.data,18,FALSE)*INDEX(REP.indexationfactors,(MATCH(CHARTYEAR,REP.yearsrange,0)))</f>
        <v>16934.760712852767</v>
      </c>
      <c r="H14" s="501">
        <f>VLOOKUP(CHARTYEAR&amp;"."&amp;H$9&amp;"."&amp;$E14,REP.data,18,FALSE)</f>
        <v>430.46129179636364</v>
      </c>
      <c r="I14" s="501">
        <f>VLOOKUP(CHARTYEAR&amp;"."&amp;I$9&amp;"."&amp;$E14,REP.data,18,FALSE)</f>
        <v>180.81238254545451</v>
      </c>
      <c r="J14" s="501">
        <f>VLOOKUP(CHARTYEAR&amp;"."&amp;"Employment"&amp;"."&amp;$E14,REP.data,18,FALSE)</f>
        <v>137.92343032100135</v>
      </c>
      <c r="K14" s="512"/>
      <c r="L14" s="512"/>
      <c r="M14" s="512"/>
      <c r="N14" s="513"/>
      <c r="O14" s="514"/>
      <c r="P14" s="512"/>
      <c r="Q14" s="512"/>
      <c r="R14" s="512"/>
      <c r="S14" s="512"/>
      <c r="T14" s="515"/>
      <c r="U14" s="512"/>
      <c r="V14" s="512"/>
      <c r="W14" s="512"/>
      <c r="X14" s="513"/>
    </row>
    <row r="15" spans="1:24" ht="16.2" customHeight="1" x14ac:dyDescent="0.3">
      <c r="E15" s="516" t="str">
        <f>E11</f>
        <v>Day Visitor</v>
      </c>
      <c r="F15" s="509"/>
      <c r="G15" s="501">
        <f>VLOOKUP(CHARTYEAR&amp;"."&amp;"ECONOMIC IMPACT"&amp;"."&amp;$E15,REP.data,18,FALSE)*INDEX(REP.indexationfactors,(MATCH(CHARTYEAR,REP.yearsrange,0)))</f>
        <v>206279.24299275398</v>
      </c>
      <c r="H15" s="501">
        <f>VLOOKUP(CHARTYEAR&amp;"."&amp;H$9&amp;"."&amp;$E15,REP.data,18,FALSE)</f>
        <v>3768.8173242507069</v>
      </c>
      <c r="I15" s="501">
        <f>VLOOKUP(CHARTYEAR&amp;"."&amp;I$9&amp;"."&amp;$E15,REP.data,18,FALSE)</f>
        <v>3768.8173242507069</v>
      </c>
      <c r="J15" s="501">
        <f>VLOOKUP(CHARTYEAR&amp;"."&amp;"Employment"&amp;"."&amp;$E15,REP.data,18,FALSE)</f>
        <v>1547.2243679194735</v>
      </c>
      <c r="K15" s="512"/>
      <c r="L15" s="512"/>
      <c r="M15" s="512"/>
      <c r="N15" s="513"/>
      <c r="O15" s="514"/>
      <c r="P15" s="512"/>
      <c r="Q15" s="512"/>
      <c r="R15" s="512"/>
      <c r="S15" s="512"/>
      <c r="T15" s="515"/>
      <c r="U15" s="512"/>
      <c r="V15" s="512"/>
      <c r="W15" s="512"/>
      <c r="X15" s="513"/>
    </row>
    <row r="16" spans="1:24" ht="16.2" customHeight="1" thickBot="1" x14ac:dyDescent="0.35">
      <c r="E16" s="517"/>
      <c r="F16" s="518"/>
      <c r="G16" s="518"/>
      <c r="H16" s="518"/>
      <c r="I16" s="518"/>
      <c r="J16" s="518"/>
      <c r="K16" s="518"/>
      <c r="L16" s="518"/>
      <c r="M16" s="518"/>
      <c r="N16" s="519"/>
      <c r="O16" s="520"/>
      <c r="P16" s="518"/>
      <c r="Q16" s="518"/>
      <c r="R16" s="518"/>
      <c r="S16" s="518"/>
      <c r="T16" s="518"/>
      <c r="U16" s="518"/>
      <c r="V16" s="518"/>
      <c r="W16" s="518"/>
      <c r="X16" s="519"/>
    </row>
    <row r="17" spans="4:24" ht="16.2" customHeight="1" thickTop="1" x14ac:dyDescent="0.3">
      <c r="E17" s="499"/>
      <c r="F17" s="500"/>
      <c r="G17" s="521" t="str">
        <f>"TOTAL"&amp;CHAR(10)&amp;"£"&amp;TEXT(SUM(G12:G15),"#,##0.00,")&amp;"m"</f>
        <v>TOTAL
£1,523.44m</v>
      </c>
      <c r="H17" s="521" t="str">
        <f>"TOTAL"&amp;CHAR(10)&amp;TEXT(SUM(H12:H15),"#,##0.00,")&amp;"m"</f>
        <v>TOTAL
24.18m</v>
      </c>
      <c r="I17" s="521" t="str">
        <f>"TOTAL"&amp;CHAR(10)&amp;TEXT(SUM(I12:I15),"#,##0.00,")&amp;"m"</f>
        <v>TOTAL
7.88m</v>
      </c>
      <c r="J17" s="521" t="str">
        <f>"TOTAL"&amp;CHAR(10)&amp;TEXT(SUM(J12:J15),"#,##0")&amp;" Direct FTEs"&amp;CHAR(10)&amp;TEXT(VLOOKUP(CHARTYEAR&amp;"."&amp;"Employment"&amp;"."&amp;TOTAL,REP.data,18,FALSE),"#,##0")&amp;" Total FTEs"</f>
        <v>TOTAL
14,284 Direct FTEs
17,737 Total FTEs</v>
      </c>
      <c r="K17" s="512"/>
      <c r="L17" s="512"/>
      <c r="M17" s="512"/>
      <c r="N17" s="513"/>
      <c r="O17" s="514"/>
      <c r="P17" s="512"/>
      <c r="Q17" s="512"/>
      <c r="R17" s="512"/>
      <c r="S17" s="512"/>
      <c r="T17" s="515"/>
      <c r="U17" s="512"/>
      <c r="V17" s="512"/>
      <c r="W17" s="512"/>
      <c r="X17" s="513"/>
    </row>
    <row r="18" spans="4:24" ht="16.2" customHeight="1" x14ac:dyDescent="0.3">
      <c r="E18" s="516"/>
      <c r="F18" s="509"/>
      <c r="G18" s="522"/>
      <c r="H18" s="522"/>
      <c r="I18" s="522"/>
      <c r="J18" s="522"/>
      <c r="K18" s="522"/>
      <c r="L18" s="522"/>
      <c r="M18" s="522"/>
      <c r="N18" s="523"/>
      <c r="O18" s="524"/>
      <c r="P18" s="522"/>
      <c r="Q18" s="522"/>
      <c r="R18" s="522"/>
      <c r="S18" s="522"/>
      <c r="T18" s="512"/>
      <c r="U18" s="522"/>
      <c r="V18" s="522"/>
      <c r="W18" s="522"/>
      <c r="X18" s="523"/>
    </row>
    <row r="19" spans="4:24" ht="16.2" customHeight="1" x14ac:dyDescent="0.3">
      <c r="E19" s="516"/>
      <c r="F19" s="509"/>
      <c r="G19" s="522"/>
      <c r="H19" s="522"/>
      <c r="I19" s="522"/>
      <c r="J19" s="522"/>
      <c r="K19" s="522"/>
      <c r="L19" s="522"/>
      <c r="M19" s="522"/>
      <c r="N19" s="523"/>
      <c r="O19" s="524"/>
      <c r="P19" s="522"/>
      <c r="Q19" s="522"/>
      <c r="R19" s="522"/>
      <c r="S19" s="522"/>
      <c r="T19" s="512"/>
      <c r="U19" s="522"/>
      <c r="V19" s="522"/>
      <c r="W19" s="522"/>
      <c r="X19" s="523"/>
    </row>
    <row r="20" spans="4:24" ht="16.2" customHeight="1" x14ac:dyDescent="0.3">
      <c r="E20" s="516"/>
      <c r="F20" s="509"/>
      <c r="G20" s="522"/>
      <c r="H20" s="522"/>
      <c r="I20" s="522"/>
      <c r="J20" s="522"/>
      <c r="K20" s="522"/>
      <c r="L20" s="522"/>
      <c r="M20" s="522"/>
      <c r="N20" s="523"/>
      <c r="O20" s="524"/>
      <c r="P20" s="522"/>
      <c r="Q20" s="522"/>
      <c r="R20" s="522"/>
      <c r="S20" s="522"/>
      <c r="T20" s="512"/>
      <c r="U20" s="522"/>
      <c r="V20" s="522"/>
      <c r="W20" s="522"/>
      <c r="X20" s="523"/>
    </row>
    <row r="21" spans="4:24" ht="16.2" customHeight="1" x14ac:dyDescent="0.3">
      <c r="E21" s="507"/>
      <c r="F21" s="508"/>
      <c r="G21" s="508"/>
      <c r="H21" s="508"/>
      <c r="I21" s="508"/>
      <c r="J21" s="508"/>
      <c r="K21" s="508"/>
      <c r="L21" s="508"/>
      <c r="M21" s="508"/>
      <c r="N21" s="525"/>
      <c r="O21" s="526"/>
      <c r="P21" s="508"/>
      <c r="Q21" s="508"/>
      <c r="R21" s="508"/>
      <c r="S21" s="508"/>
      <c r="T21" s="508"/>
      <c r="U21" s="508"/>
      <c r="V21" s="508"/>
      <c r="W21" s="508"/>
      <c r="X21" s="525"/>
    </row>
    <row r="22" spans="4:24" ht="16.2" customHeight="1" thickBot="1" x14ac:dyDescent="0.35">
      <c r="E22" s="517"/>
      <c r="F22" s="518"/>
      <c r="G22" s="518"/>
      <c r="H22" s="518"/>
      <c r="I22" s="518"/>
      <c r="J22" s="518"/>
      <c r="K22" s="518"/>
      <c r="L22" s="518"/>
      <c r="M22" s="518"/>
      <c r="N22" s="519"/>
      <c r="O22" s="520"/>
      <c r="P22" s="518"/>
      <c r="Q22" s="518"/>
      <c r="R22" s="518"/>
      <c r="S22" s="518"/>
      <c r="T22" s="518"/>
      <c r="U22" s="518"/>
      <c r="V22" s="518"/>
      <c r="W22" s="518"/>
      <c r="X22" s="519"/>
    </row>
    <row r="23" spans="4:24" ht="16.2" customHeight="1" thickTop="1" thickBot="1" x14ac:dyDescent="0.35">
      <c r="E23" s="947" t="str">
        <f ca="1">PROPER('VISITOR DAYS'!$U$6)&amp;" - "&amp;CHARTYEAR&amp;" - M - Share of Total"</f>
        <v>Visitor Days - 2022 - M - Share of Total</v>
      </c>
      <c r="F23" s="948"/>
      <c r="G23" s="948"/>
      <c r="H23" s="948"/>
      <c r="I23" s="948"/>
      <c r="J23" s="948"/>
      <c r="K23" s="948"/>
      <c r="L23" s="948"/>
      <c r="M23" s="948"/>
      <c r="N23" s="948"/>
      <c r="O23" s="949" t="str">
        <f>"Direct Employment Supported - "&amp;CHARTYEAR&amp;" - FTEs - Share of Total"</f>
        <v>Direct Employment Supported - 2022 - FTEs - Share of Total</v>
      </c>
      <c r="P23" s="950"/>
      <c r="Q23" s="950"/>
      <c r="R23" s="950"/>
      <c r="S23" s="950"/>
      <c r="T23" s="950"/>
      <c r="U23" s="950"/>
      <c r="V23" s="950"/>
      <c r="W23" s="950"/>
      <c r="X23" s="951"/>
    </row>
    <row r="24" spans="4:24" ht="16.2" customHeight="1" thickTop="1" x14ac:dyDescent="0.3">
      <c r="E24" s="433"/>
      <c r="F24" s="434"/>
      <c r="G24" s="434"/>
      <c r="H24" s="434"/>
      <c r="I24" s="434"/>
      <c r="J24" s="434"/>
      <c r="K24" s="434"/>
      <c r="L24" s="434"/>
      <c r="M24" s="423"/>
      <c r="N24" s="424"/>
      <c r="O24" s="433"/>
      <c r="P24" s="434"/>
      <c r="Q24" s="434"/>
      <c r="R24" s="434"/>
      <c r="S24" s="434"/>
      <c r="T24" s="434"/>
      <c r="U24" s="434"/>
      <c r="V24" s="434"/>
      <c r="W24" s="423"/>
      <c r="X24" s="424"/>
    </row>
    <row r="25" spans="4:24" ht="16.2" customHeight="1" x14ac:dyDescent="0.3">
      <c r="E25" s="151"/>
      <c r="F25" s="152"/>
      <c r="G25" s="421"/>
      <c r="H25" s="421"/>
      <c r="I25" s="421"/>
      <c r="J25" s="421"/>
      <c r="K25" s="421"/>
      <c r="L25" s="421"/>
      <c r="M25" s="412"/>
      <c r="N25" s="428"/>
      <c r="O25" s="151"/>
      <c r="P25" s="152"/>
      <c r="Q25" s="421"/>
      <c r="R25" s="421"/>
      <c r="S25" s="421"/>
      <c r="T25" s="421"/>
      <c r="U25" s="421"/>
      <c r="V25" s="421"/>
      <c r="W25" s="412"/>
      <c r="X25" s="428"/>
    </row>
    <row r="26" spans="4:24" ht="16.2" customHeight="1" x14ac:dyDescent="0.3">
      <c r="E26" s="247"/>
      <c r="F26" s="248"/>
      <c r="G26" s="159"/>
      <c r="H26" s="159"/>
      <c r="I26" s="159"/>
      <c r="J26" s="159"/>
      <c r="K26" s="159"/>
      <c r="L26" s="159"/>
      <c r="M26" s="415"/>
      <c r="N26" s="422"/>
      <c r="O26" s="247"/>
      <c r="P26" s="248"/>
      <c r="Q26" s="159"/>
      <c r="R26" s="159"/>
      <c r="S26" s="159"/>
      <c r="T26" s="159"/>
      <c r="U26" s="159"/>
      <c r="V26" s="159"/>
      <c r="W26" s="415"/>
      <c r="X26" s="422"/>
    </row>
    <row r="27" spans="4:24" ht="16.2" customHeight="1" x14ac:dyDescent="0.3">
      <c r="E27" s="247"/>
      <c r="F27" s="248"/>
      <c r="G27" s="159"/>
      <c r="H27" s="159"/>
      <c r="I27" s="159"/>
      <c r="J27" s="159"/>
      <c r="K27" s="159"/>
      <c r="L27" s="159"/>
      <c r="M27" s="415"/>
      <c r="N27" s="422"/>
      <c r="O27" s="247"/>
      <c r="P27" s="248"/>
      <c r="Q27" s="159"/>
      <c r="R27" s="159"/>
      <c r="S27" s="159"/>
      <c r="T27" s="159"/>
      <c r="U27" s="159"/>
      <c r="V27" s="159"/>
      <c r="W27" s="415"/>
      <c r="X27" s="422"/>
    </row>
    <row r="28" spans="4:24" ht="16.2" customHeight="1" x14ac:dyDescent="0.3">
      <c r="D28" s="196"/>
      <c r="E28" s="247"/>
      <c r="F28" s="248"/>
      <c r="G28" s="159"/>
      <c r="H28" s="159"/>
      <c r="I28" s="159"/>
      <c r="J28" s="159"/>
      <c r="K28" s="159"/>
      <c r="L28" s="159"/>
      <c r="M28" s="415"/>
      <c r="N28" s="422"/>
      <c r="O28" s="247"/>
      <c r="P28" s="248"/>
      <c r="Q28" s="159"/>
      <c r="R28" s="159"/>
      <c r="S28" s="159"/>
      <c r="T28" s="159"/>
      <c r="U28" s="159"/>
      <c r="V28" s="159"/>
      <c r="W28" s="415"/>
      <c r="X28" s="422"/>
    </row>
    <row r="29" spans="4:24" ht="16.2" customHeight="1" x14ac:dyDescent="0.3">
      <c r="D29" s="196"/>
      <c r="E29" s="435"/>
      <c r="F29" s="412"/>
      <c r="G29" s="418"/>
      <c r="H29" s="418"/>
      <c r="I29" s="418"/>
      <c r="J29" s="418"/>
      <c r="K29" s="418"/>
      <c r="L29" s="418"/>
      <c r="M29" s="417"/>
      <c r="N29" s="419"/>
      <c r="O29" s="435"/>
      <c r="P29" s="412"/>
      <c r="Q29" s="418"/>
      <c r="R29" s="418"/>
      <c r="S29" s="418"/>
      <c r="T29" s="418"/>
      <c r="U29" s="418"/>
      <c r="V29" s="418"/>
      <c r="W29" s="417"/>
      <c r="X29" s="419"/>
    </row>
    <row r="30" spans="4:24" ht="16.2" customHeight="1" x14ac:dyDescent="0.3">
      <c r="D30" s="196"/>
      <c r="E30" s="435"/>
      <c r="F30" s="412"/>
      <c r="G30" s="418"/>
      <c r="H30" s="418"/>
      <c r="I30" s="418"/>
      <c r="J30" s="418"/>
      <c r="K30" s="418"/>
      <c r="L30" s="418"/>
      <c r="M30" s="417"/>
      <c r="N30" s="419"/>
      <c r="O30" s="435"/>
      <c r="P30" s="412"/>
      <c r="Q30" s="418"/>
      <c r="R30" s="418"/>
      <c r="S30" s="418"/>
      <c r="T30" s="418"/>
      <c r="U30" s="418"/>
      <c r="V30" s="418"/>
      <c r="W30" s="417"/>
      <c r="X30" s="419"/>
    </row>
    <row r="31" spans="4:24" ht="16.2" customHeight="1" x14ac:dyDescent="0.3">
      <c r="D31" s="196"/>
      <c r="E31" s="435"/>
      <c r="F31" s="412"/>
      <c r="G31" s="418"/>
      <c r="H31" s="418"/>
      <c r="I31" s="418"/>
      <c r="J31" s="418"/>
      <c r="K31" s="418"/>
      <c r="L31" s="418"/>
      <c r="M31" s="417"/>
      <c r="N31" s="419"/>
      <c r="O31" s="435"/>
      <c r="P31" s="412"/>
      <c r="Q31" s="418"/>
      <c r="R31" s="418"/>
      <c r="S31" s="418"/>
      <c r="T31" s="418"/>
      <c r="U31" s="418"/>
      <c r="V31" s="418"/>
      <c r="W31" s="417"/>
      <c r="X31" s="419"/>
    </row>
    <row r="32" spans="4:24" ht="16.2" customHeight="1" x14ac:dyDescent="0.3">
      <c r="D32" s="196"/>
      <c r="E32" s="435"/>
      <c r="F32" s="412"/>
      <c r="G32" s="418"/>
      <c r="H32" s="418"/>
      <c r="I32" s="418"/>
      <c r="J32" s="418"/>
      <c r="K32" s="418"/>
      <c r="L32" s="418"/>
      <c r="M32" s="417"/>
      <c r="N32" s="419"/>
      <c r="O32" s="435"/>
      <c r="P32" s="412"/>
      <c r="Q32" s="418"/>
      <c r="R32" s="418"/>
      <c r="S32" s="418"/>
      <c r="T32" s="418"/>
      <c r="U32" s="418"/>
      <c r="V32" s="418"/>
      <c r="W32" s="417"/>
      <c r="X32" s="419"/>
    </row>
    <row r="33" spans="1:30" ht="16.2" customHeight="1" x14ac:dyDescent="0.3">
      <c r="D33" s="196"/>
      <c r="E33" s="142"/>
      <c r="F33" s="143"/>
      <c r="G33" s="436"/>
      <c r="H33" s="436"/>
      <c r="I33" s="437"/>
      <c r="J33" s="437"/>
      <c r="K33" s="437"/>
      <c r="L33" s="437"/>
      <c r="M33" s="437"/>
      <c r="N33" s="438"/>
      <c r="O33" s="439"/>
      <c r="P33" s="437"/>
      <c r="Q33" s="437"/>
      <c r="R33" s="437"/>
      <c r="S33" s="418"/>
      <c r="T33" s="440"/>
      <c r="U33" s="440"/>
      <c r="V33" s="440"/>
      <c r="W33" s="440"/>
      <c r="X33" s="441"/>
    </row>
    <row r="34" spans="1:30" ht="16.2" customHeight="1" x14ac:dyDescent="0.3">
      <c r="D34" s="196"/>
      <c r="E34" s="442"/>
      <c r="F34" s="443"/>
      <c r="G34" s="159"/>
      <c r="H34" s="159"/>
      <c r="I34" s="159"/>
      <c r="J34" s="159"/>
      <c r="K34" s="159"/>
      <c r="L34" s="159"/>
      <c r="M34" s="159"/>
      <c r="N34" s="416"/>
      <c r="O34" s="420"/>
      <c r="P34" s="159"/>
      <c r="Q34" s="159"/>
      <c r="R34" s="159"/>
      <c r="S34" s="418"/>
      <c r="T34" s="440"/>
      <c r="U34" s="440"/>
      <c r="V34" s="440"/>
      <c r="W34" s="440"/>
      <c r="X34" s="441"/>
    </row>
    <row r="35" spans="1:30" ht="16.2" customHeight="1" x14ac:dyDescent="0.3">
      <c r="D35" s="196"/>
      <c r="E35" s="442"/>
      <c r="F35" s="443"/>
      <c r="G35" s="159"/>
      <c r="H35" s="159"/>
      <c r="I35" s="159"/>
      <c r="J35" s="159"/>
      <c r="K35" s="159"/>
      <c r="L35" s="159"/>
      <c r="M35" s="159"/>
      <c r="N35" s="416"/>
      <c r="O35" s="420"/>
      <c r="P35" s="159"/>
      <c r="Q35" s="159"/>
      <c r="R35" s="159"/>
      <c r="S35" s="418"/>
      <c r="T35" s="418"/>
      <c r="U35" s="418"/>
      <c r="V35" s="418"/>
      <c r="W35" s="417"/>
      <c r="X35" s="419"/>
    </row>
    <row r="36" spans="1:30" ht="16.2" customHeight="1" x14ac:dyDescent="0.3">
      <c r="D36" s="196"/>
      <c r="E36" s="442"/>
      <c r="F36" s="443"/>
      <c r="G36" s="159"/>
      <c r="H36" s="159"/>
      <c r="I36" s="159"/>
      <c r="J36" s="159"/>
      <c r="K36" s="159"/>
      <c r="L36" s="159"/>
      <c r="M36" s="159"/>
      <c r="N36" s="416"/>
      <c r="O36" s="420"/>
      <c r="P36" s="159"/>
      <c r="Q36" s="159"/>
      <c r="R36" s="159"/>
      <c r="S36" s="418"/>
      <c r="T36" s="418"/>
      <c r="U36" s="418"/>
      <c r="V36" s="418"/>
      <c r="W36" s="417"/>
      <c r="X36" s="419"/>
    </row>
    <row r="37" spans="1:30" s="174" customFormat="1" ht="16.2" customHeight="1" thickBot="1" x14ac:dyDescent="0.35">
      <c r="A37" s="111"/>
      <c r="B37" s="111"/>
      <c r="C37" s="111"/>
      <c r="D37" s="196"/>
      <c r="E37" s="444"/>
      <c r="F37" s="445"/>
      <c r="G37" s="446"/>
      <c r="H37" s="446"/>
      <c r="I37" s="446"/>
      <c r="J37" s="446"/>
      <c r="K37" s="446"/>
      <c r="L37" s="446"/>
      <c r="M37" s="446"/>
      <c r="N37" s="447"/>
      <c r="O37" s="448"/>
      <c r="P37" s="446"/>
      <c r="Q37" s="446"/>
      <c r="R37" s="446"/>
      <c r="S37" s="276"/>
      <c r="T37" s="276"/>
      <c r="U37" s="276"/>
      <c r="V37" s="276"/>
      <c r="W37" s="277"/>
      <c r="X37" s="278"/>
      <c r="Y37" s="111"/>
      <c r="Z37" s="111"/>
      <c r="AA37" s="111"/>
      <c r="AB37" s="111"/>
      <c r="AC37" s="111"/>
      <c r="AD37" s="111"/>
    </row>
    <row r="38" spans="1:30" ht="16.2" customHeight="1" thickTop="1" thickBot="1" x14ac:dyDescent="0.2">
      <c r="A38" s="174"/>
      <c r="B38" s="174"/>
      <c r="C38" s="174"/>
      <c r="D38" s="170"/>
      <c r="E38" s="171" t="str">
        <f>REP.footer1</f>
        <v>This report is copyright © Global Tourism Solutions (UK) Ltd 2023</v>
      </c>
      <c r="F38" s="172"/>
      <c r="G38" s="172"/>
      <c r="H38" s="172"/>
      <c r="I38" s="172"/>
      <c r="J38" s="172"/>
      <c r="K38" s="172"/>
      <c r="L38" s="172"/>
      <c r="M38" s="172"/>
      <c r="N38" s="172"/>
      <c r="O38" s="172"/>
      <c r="P38" s="172"/>
      <c r="Q38" s="172"/>
      <c r="R38" s="172"/>
      <c r="S38" s="172"/>
      <c r="T38" s="172"/>
      <c r="U38" s="172"/>
      <c r="V38" s="172"/>
      <c r="W38" s="172"/>
      <c r="X38" s="173" t="str">
        <f>REP.footer2</f>
        <v>Report Prepared by: Cathy James. Date of Issue: 14/08/23</v>
      </c>
      <c r="Y38" s="174"/>
      <c r="Z38" s="174"/>
      <c r="AA38" s="174"/>
      <c r="AB38" s="174"/>
      <c r="AC38" s="174"/>
      <c r="AD38" s="174"/>
    </row>
    <row r="39" spans="1:30" ht="16.2" customHeight="1" thickTop="1" x14ac:dyDescent="0.3"/>
    <row r="40" spans="1:30" ht="16.2" customHeight="1" x14ac:dyDescent="0.3">
      <c r="G40" s="240"/>
      <c r="H40" s="240"/>
      <c r="I40" s="240"/>
      <c r="J40" s="240"/>
      <c r="K40" s="240"/>
      <c r="L40" s="240"/>
      <c r="M40" s="240"/>
      <c r="N40" s="240"/>
      <c r="O40" s="240"/>
      <c r="P40" s="240"/>
      <c r="Q40" s="240"/>
      <c r="R40" s="240"/>
      <c r="S40" s="240"/>
      <c r="T40" s="240"/>
      <c r="U40" s="240"/>
      <c r="V40" s="240"/>
    </row>
    <row r="41" spans="1:30" ht="45" customHeight="1" x14ac:dyDescent="0.3">
      <c r="G41" s="240"/>
      <c r="H41" s="240"/>
      <c r="I41" s="240"/>
      <c r="J41" s="240"/>
      <c r="K41" s="240"/>
      <c r="L41" s="240"/>
      <c r="M41" s="240"/>
      <c r="N41" s="240"/>
      <c r="O41" s="240"/>
      <c r="P41" s="240"/>
      <c r="Q41" s="240"/>
      <c r="R41" s="240"/>
      <c r="S41" s="240"/>
      <c r="T41" s="240"/>
      <c r="U41" s="240"/>
      <c r="V41" s="240"/>
    </row>
    <row r="76" spans="5:11" ht="16.2" customHeight="1" thickBot="1" x14ac:dyDescent="0.35"/>
    <row r="77" spans="5:11" ht="16.2" customHeight="1" thickBot="1" x14ac:dyDescent="0.35">
      <c r="E77" s="460"/>
      <c r="F77" s="460"/>
      <c r="G77" s="461" t="s">
        <v>144</v>
      </c>
      <c r="H77" s="462" t="s">
        <v>145</v>
      </c>
      <c r="I77" s="463" t="s">
        <v>145</v>
      </c>
      <c r="J77" s="464" t="s">
        <v>59</v>
      </c>
      <c r="K77" s="460"/>
    </row>
    <row r="78" spans="5:11" ht="16.2" customHeight="1" thickBot="1" x14ac:dyDescent="0.35">
      <c r="E78" s="465" t="s">
        <v>110</v>
      </c>
      <c r="F78" s="465"/>
      <c r="G78" s="466">
        <f t="shared" ref="G78:J80" si="1">G12</f>
        <v>142263.86291018059</v>
      </c>
      <c r="H78" s="466">
        <f t="shared" si="1"/>
        <v>1206.5322566246423</v>
      </c>
      <c r="I78" s="466">
        <f t="shared" si="1"/>
        <v>676.60965910293658</v>
      </c>
      <c r="J78" s="467">
        <f t="shared" si="1"/>
        <v>2005.8532319564802</v>
      </c>
      <c r="K78" s="465"/>
    </row>
    <row r="79" spans="5:11" ht="16.2" customHeight="1" thickBot="1" x14ac:dyDescent="0.35">
      <c r="E79" s="468" t="s">
        <v>111</v>
      </c>
      <c r="F79" s="468"/>
      <c r="G79" s="469">
        <f t="shared" si="1"/>
        <v>1157963.5043597082</v>
      </c>
      <c r="H79" s="469">
        <f t="shared" si="1"/>
        <v>18774.503365224438</v>
      </c>
      <c r="I79" s="469">
        <f t="shared" si="1"/>
        <v>3256.0645092353548</v>
      </c>
      <c r="J79" s="470">
        <f t="shared" si="1"/>
        <v>10593.01630038202</v>
      </c>
      <c r="K79" s="468"/>
    </row>
    <row r="80" spans="5:11" ht="16.2" customHeight="1" thickBot="1" x14ac:dyDescent="0.35">
      <c r="E80" s="471" t="s">
        <v>18</v>
      </c>
      <c r="F80" s="471"/>
      <c r="G80" s="472">
        <f t="shared" si="1"/>
        <v>16934.760712852767</v>
      </c>
      <c r="H80" s="472">
        <f t="shared" si="1"/>
        <v>430.46129179636364</v>
      </c>
      <c r="I80" s="472">
        <f t="shared" si="1"/>
        <v>180.81238254545451</v>
      </c>
      <c r="J80" s="473">
        <f t="shared" si="1"/>
        <v>137.92343032100135</v>
      </c>
      <c r="K80" s="471"/>
    </row>
    <row r="81" spans="5:11" ht="16.2" customHeight="1" thickBot="1" x14ac:dyDescent="0.35">
      <c r="E81" s="474" t="s">
        <v>140</v>
      </c>
      <c r="F81" s="474"/>
      <c r="G81" s="475">
        <f t="shared" ref="G81:J82" si="2">G10</f>
        <v>1317162.1279827415</v>
      </c>
      <c r="H81" s="475">
        <f t="shared" si="2"/>
        <v>20411.496913645446</v>
      </c>
      <c r="I81" s="475">
        <f t="shared" si="2"/>
        <v>4113.4865508837465</v>
      </c>
      <c r="J81" s="476">
        <f t="shared" si="2"/>
        <v>12736.792962659501</v>
      </c>
      <c r="K81" s="474"/>
    </row>
    <row r="82" spans="5:11" ht="16.2" customHeight="1" thickBot="1" x14ac:dyDescent="0.35">
      <c r="E82" s="477" t="s">
        <v>71</v>
      </c>
      <c r="F82" s="477"/>
      <c r="G82" s="478">
        <f t="shared" si="2"/>
        <v>206279.24299275398</v>
      </c>
      <c r="H82" s="478">
        <f t="shared" si="2"/>
        <v>3768.8173242507069</v>
      </c>
      <c r="I82" s="478">
        <f t="shared" si="2"/>
        <v>3768.8173242507069</v>
      </c>
      <c r="J82" s="479">
        <f t="shared" si="2"/>
        <v>1547.2243679194735</v>
      </c>
      <c r="K82" s="477"/>
    </row>
    <row r="83" spans="5:11" ht="16.2" customHeight="1" thickBot="1" x14ac:dyDescent="0.35">
      <c r="E83" s="480" t="s">
        <v>54</v>
      </c>
      <c r="F83" s="480"/>
      <c r="G83" s="481">
        <f>SUM(G81:G82)</f>
        <v>1523441.3709754953</v>
      </c>
      <c r="H83" s="481">
        <f t="shared" ref="H83:J83" si="3">SUM(H81:H82)</f>
        <v>24180.314237896153</v>
      </c>
      <c r="I83" s="481">
        <f t="shared" si="3"/>
        <v>7882.3038751344538</v>
      </c>
      <c r="J83" s="482">
        <f t="shared" si="3"/>
        <v>14284.017330578976</v>
      </c>
      <c r="K83" s="480"/>
    </row>
  </sheetData>
  <sheetProtection algorithmName="SHA-512" hashValue="yhbQ0BK/wLifRcp63XdAhCNBUn3H7ixms1oluIyOnKACKd8DdUXei5hhGVEAn03yBCDjbNaPvWrZPjjhxR5WSA==" saltValue="Xt5ZumUhXvdBI6geNryD6A==" spinCount="100000" sheet="1" objects="1" scenarios="1"/>
  <mergeCells count="8">
    <mergeCell ref="E23:N23"/>
    <mergeCell ref="O23:X23"/>
    <mergeCell ref="O6:R6"/>
    <mergeCell ref="S6:T7"/>
    <mergeCell ref="U6:X7"/>
    <mergeCell ref="O7:R7"/>
    <mergeCell ref="E8:N8"/>
    <mergeCell ref="O8:X8"/>
  </mergeCells>
  <printOptions horizontalCentered="1" verticalCentered="1"/>
  <pageMargins left="0.70866141732283472" right="0.70866141732283472" top="0.74803149606299213" bottom="0.74803149606299213" header="0.31496062992125984" footer="0.31496062992125984"/>
  <pageSetup paperSize="9" scale="89"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188417" r:id="rId4" name="Drop Down 1">
              <controlPr defaultSize="0" autoLine="0" autoPict="0">
                <anchor moveWithCells="1">
                  <from>
                    <xdr:col>16</xdr:col>
                    <xdr:colOff>76200</xdr:colOff>
                    <xdr:row>4</xdr:row>
                    <xdr:rowOff>22860</xdr:rowOff>
                  </from>
                  <to>
                    <xdr:col>17</xdr:col>
                    <xdr:colOff>297180</xdr:colOff>
                    <xdr:row>4</xdr:row>
                    <xdr:rowOff>297180</xdr:rowOff>
                  </to>
                </anchor>
              </controlPr>
            </control>
          </mc:Choice>
        </mc:AlternateContent>
        <mc:AlternateContent xmlns:mc="http://schemas.openxmlformats.org/markup-compatibility/2006">
          <mc:Choice Requires="x14">
            <control shapeId="188420" r:id="rId5" name="Drop Down 4">
              <controlPr defaultSize="0" autoLine="0" autoPict="0">
                <anchor moveWithCells="1">
                  <from>
                    <xdr:col>5</xdr:col>
                    <xdr:colOff>335280</xdr:colOff>
                    <xdr:row>4</xdr:row>
                    <xdr:rowOff>22860</xdr:rowOff>
                  </from>
                  <to>
                    <xdr:col>7</xdr:col>
                    <xdr:colOff>198120</xdr:colOff>
                    <xdr:row>4</xdr:row>
                    <xdr:rowOff>297180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66</vt:i4>
      </vt:variant>
    </vt:vector>
  </HeadingPairs>
  <TitlesOfParts>
    <vt:vector size="81" baseType="lpstr">
      <vt:lpstr>HOME</vt:lpstr>
      <vt:lpstr>USER GUIDE</vt:lpstr>
      <vt:lpstr>COMPARATIVE HEADLINES</vt:lpstr>
      <vt:lpstr>KEY MEASURES</vt:lpstr>
      <vt:lpstr>VISITOR TYPE DISTRIBUTION</vt:lpstr>
      <vt:lpstr>MONTHLY DISTRIBUTION</vt:lpstr>
      <vt:lpstr>ECONOMIC IMPACT</vt:lpstr>
      <vt:lpstr>VISITOR NUMBERS</vt:lpstr>
      <vt:lpstr>VISITOR DAYS</vt:lpstr>
      <vt:lpstr>EMPLOYMENT</vt:lpstr>
      <vt:lpstr>ACCOMMODATION SUPPLY</vt:lpstr>
      <vt:lpstr>SECTORAL ANALYSIS</vt:lpstr>
      <vt:lpstr>COVER</vt:lpstr>
      <vt:lpstr>CONTENTS</vt:lpstr>
      <vt:lpstr>DATA</vt:lpstr>
      <vt:lpstr>CHART.chart2seriesname</vt:lpstr>
      <vt:lpstr>CHARTYEAR.no</vt:lpstr>
      <vt:lpstr>COMPARISONYEAR.no</vt:lpstr>
      <vt:lpstr>FOCUSYEAR.no</vt:lpstr>
      <vt:lpstr>GTS_CJ</vt:lpstr>
      <vt:lpstr>GTS_DC</vt:lpstr>
      <vt:lpstr>GTS_DJ</vt:lpstr>
      <vt:lpstr>GTS_RM</vt:lpstr>
      <vt:lpstr>INDEX.no</vt:lpstr>
      <vt:lpstr>'ACCOMMODATION SUPPLY'!Print_Area</vt:lpstr>
      <vt:lpstr>ANNEX!Print_Area</vt:lpstr>
      <vt:lpstr>'COMPARATIVE HEADLINES'!Print_Area</vt:lpstr>
      <vt:lpstr>CONTENTS!Print_Area</vt:lpstr>
      <vt:lpstr>COVER!Print_Area</vt:lpstr>
      <vt:lpstr>'ECONOMIC IMPACT'!Print_Area</vt:lpstr>
      <vt:lpstr>EMPLOYMENT!Print_Area</vt:lpstr>
      <vt:lpstr>HOME!Print_Area</vt:lpstr>
      <vt:lpstr>'KEY MEASURES'!Print_Area</vt:lpstr>
      <vt:lpstr>'MONTHLY DISTRIBUTION'!Print_Area</vt:lpstr>
      <vt:lpstr>PB!Print_Area</vt:lpstr>
      <vt:lpstr>'SECTORAL ANALYSIS'!Print_Area</vt:lpstr>
      <vt:lpstr>'USER GUIDE'!Print_Area</vt:lpstr>
      <vt:lpstr>'VISITOR DAYS'!Print_Area</vt:lpstr>
      <vt:lpstr>'VISITOR NUMBERS'!Print_Area</vt:lpstr>
      <vt:lpstr>'VISITOR TYPE DISTRIBUTION'!Print_Area</vt:lpstr>
      <vt:lpstr>REP.AllYear</vt:lpstr>
      <vt:lpstr>REP.alookup</vt:lpstr>
      <vt:lpstr>REP.areacode</vt:lpstr>
      <vt:lpstr>REP.authority</vt:lpstr>
      <vt:lpstr>REP.companycontacts</vt:lpstr>
      <vt:lpstr>REP.data</vt:lpstr>
      <vt:lpstr>REP.footer1</vt:lpstr>
      <vt:lpstr>REP.footer2</vt:lpstr>
      <vt:lpstr>REP.gts</vt:lpstr>
      <vt:lpstr>REP.highlightdown</vt:lpstr>
      <vt:lpstr>REP.highlightsame</vt:lpstr>
      <vt:lpstr>REP.highlightup</vt:lpstr>
      <vt:lpstr>REP.ind</vt:lpstr>
      <vt:lpstr>REP.indexationfactors</vt:lpstr>
      <vt:lpstr>REP.indexationtable</vt:lpstr>
      <vt:lpstr>REP.indexationtoFOCUSYEAR</vt:lpstr>
      <vt:lpstr>REP.issued</vt:lpstr>
      <vt:lpstr>REP.lookup</vt:lpstr>
      <vt:lpstr>REP.monthnos</vt:lpstr>
      <vt:lpstr>REP.months</vt:lpstr>
      <vt:lpstr>REP.percenthighlight</vt:lpstr>
      <vt:lpstr>rep.percenthighlightchoices</vt:lpstr>
      <vt:lpstr>rep.percenthighlightno</vt:lpstr>
      <vt:lpstr>REP.product</vt:lpstr>
      <vt:lpstr>REP.QuarterAllYear</vt:lpstr>
      <vt:lpstr>REP.quarters</vt:lpstr>
      <vt:lpstr>REP.reporttype</vt:lpstr>
      <vt:lpstr>REP.status</vt:lpstr>
      <vt:lpstr>REP.subzone</vt:lpstr>
      <vt:lpstr>REP.title1</vt:lpstr>
      <vt:lpstr>REP.title2</vt:lpstr>
      <vt:lpstr>REP.user</vt:lpstr>
      <vt:lpstr>REP.yearnos</vt:lpstr>
      <vt:lpstr>REP.yearnosINV</vt:lpstr>
      <vt:lpstr>REP.yearsrange</vt:lpstr>
      <vt:lpstr>REP.YN</vt:lpstr>
      <vt:lpstr>TYPE.choices</vt:lpstr>
      <vt:lpstr>TYPE.no</vt:lpstr>
      <vt:lpstr>TYPE.supplymeasure</vt:lpstr>
      <vt:lpstr>TYPE.userselected</vt:lpstr>
      <vt:lpstr>YEARSINREP</vt:lpstr>
    </vt:vector>
  </TitlesOfParts>
  <Company>GTS (UK) Ltd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STEAM</dc:title>
  <dc:subject/>
  <dc:creator>© Global Tourism Solutions (UK) Ltd</dc:creator>
  <cp:keywords>BD 080517 10:42</cp:keywords>
  <dc:description>Printed to PDF Mon 14 Aug 2023 by Cathryn James</dc:description>
  <cp:lastModifiedBy>Cathryn James</cp:lastModifiedBy>
  <cp:revision>1</cp:revision>
  <cp:lastPrinted>2015-02-17T20:43:29Z</cp:lastPrinted>
  <dcterms:created xsi:type="dcterms:W3CDTF">2013-04-08T07:23:50Z</dcterms:created>
  <dcterms:modified xsi:type="dcterms:W3CDTF">2023-08-16T09:51:14Z</dcterms:modified>
  <cp:contentStatus>Added 2016 Index Table</cp:contentStatus>
</cp:coreProperties>
</file>